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-15" yWindow="45" windowWidth="10200" windowHeight="769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C12" i="16" l="1"/>
  <c r="N12" i="16"/>
  <c r="N13" i="16" s="1"/>
  <c r="M12" i="16"/>
  <c r="M13" i="16" s="1"/>
  <c r="L12" i="16"/>
  <c r="L13" i="16" s="1"/>
  <c r="K12" i="16"/>
  <c r="K13" i="16" s="1"/>
  <c r="J12" i="16"/>
  <c r="J13" i="16" s="1"/>
  <c r="I12" i="16"/>
  <c r="I13" i="16" s="1"/>
  <c r="H12" i="16"/>
  <c r="H13" i="16" s="1"/>
  <c r="G12" i="16"/>
  <c r="G13" i="16" s="1"/>
  <c r="F12" i="16"/>
  <c r="F13" i="16" s="1"/>
  <c r="E12" i="16"/>
  <c r="E13" i="16" s="1"/>
  <c r="D12" i="16"/>
  <c r="D13" i="16" s="1"/>
  <c r="C13" i="16"/>
  <c r="M13" i="15" l="1"/>
  <c r="M12" i="15"/>
  <c r="D12" i="15"/>
  <c r="E12" i="15"/>
  <c r="F12" i="15"/>
  <c r="G12" i="15"/>
  <c r="H12" i="15"/>
  <c r="I12" i="15"/>
  <c r="J12" i="15"/>
  <c r="K12" i="15"/>
  <c r="L12" i="15"/>
  <c r="N12" i="15"/>
  <c r="C12" i="15"/>
  <c r="AH9" i="13" l="1"/>
  <c r="AH8" i="13"/>
  <c r="AH7" i="13"/>
  <c r="AH6" i="13"/>
  <c r="AH5" i="13"/>
  <c r="K13" i="15"/>
  <c r="G13" i="15"/>
  <c r="C13" i="15"/>
  <c r="N13" i="15"/>
  <c r="L13" i="15"/>
  <c r="J13" i="15"/>
  <c r="I13" i="15"/>
  <c r="H13" i="15"/>
  <c r="F13" i="15"/>
  <c r="E13" i="15"/>
  <c r="D13" i="15"/>
  <c r="AR9" i="14" l="1"/>
  <c r="AR8" i="14"/>
  <c r="AR7" i="14"/>
  <c r="AR6" i="14"/>
  <c r="AN9" i="14" l="1"/>
  <c r="AN8" i="14"/>
  <c r="AN7" i="14"/>
  <c r="AN6" i="14"/>
  <c r="AJ8" i="14" l="1"/>
  <c r="AJ7" i="14"/>
  <c r="AJ6" i="14"/>
  <c r="AF9" i="14" l="1"/>
  <c r="AF8" i="14"/>
  <c r="AF7" i="14"/>
  <c r="AF6" i="14"/>
  <c r="AB9" i="14" l="1"/>
  <c r="AB8" i="14"/>
  <c r="AB7" i="14"/>
  <c r="AB6" i="14"/>
  <c r="D12" i="14"/>
  <c r="G12" i="14"/>
  <c r="J12" i="14"/>
  <c r="M12" i="14"/>
  <c r="Q12" i="14"/>
  <c r="T12" i="14"/>
  <c r="X12" i="14"/>
  <c r="AB12" i="14" l="1"/>
  <c r="Q9" i="14" l="1"/>
  <c r="Q8" i="14"/>
  <c r="M9" i="14"/>
  <c r="M8" i="14"/>
  <c r="J9" i="14"/>
  <c r="J8" i="14"/>
  <c r="G9" i="14"/>
  <c r="G8" i="14"/>
  <c r="T9" i="14"/>
  <c r="T8" i="14"/>
  <c r="X8" i="14"/>
  <c r="X7" i="14"/>
  <c r="X6" i="14"/>
  <c r="X9" i="14"/>
  <c r="T7" i="14" l="1"/>
  <c r="T6" i="14"/>
  <c r="O19" i="13" l="1"/>
  <c r="O20" i="13"/>
  <c r="O21" i="13"/>
  <c r="O22" i="13"/>
  <c r="O18" i="13"/>
  <c r="Q7" i="14" l="1"/>
  <c r="Q6" i="14"/>
  <c r="M7" i="14" l="1"/>
  <c r="M6" i="14"/>
  <c r="J7" i="14" l="1"/>
  <c r="J6" i="14"/>
  <c r="G7" i="14" l="1"/>
  <c r="G6" i="14"/>
  <c r="D9" i="14" l="1"/>
  <c r="D8" i="14"/>
  <c r="D7" i="14"/>
  <c r="D6" i="14"/>
  <c r="D13" i="14" l="1"/>
  <c r="W8" i="12"/>
  <c r="W7" i="12"/>
  <c r="W6" i="12"/>
  <c r="W5" i="12"/>
  <c r="AR12" i="14"/>
  <c r="AR13" i="14" s="1"/>
  <c r="AN12" i="14"/>
  <c r="AN13" i="14" s="1"/>
  <c r="AJ12" i="14"/>
  <c r="AJ13" i="14" s="1"/>
  <c r="AF12" i="14"/>
  <c r="AF13" i="14" s="1"/>
  <c r="AB13" i="14"/>
  <c r="X13" i="14"/>
  <c r="T13" i="14"/>
  <c r="Q13" i="14"/>
  <c r="M13" i="14"/>
  <c r="J13" i="14"/>
  <c r="G13" i="14"/>
  <c r="AG9" i="13" l="1"/>
  <c r="AG8" i="13"/>
  <c r="AG7" i="13"/>
  <c r="AG6" i="13"/>
  <c r="AF5" i="13" l="1"/>
  <c r="AD9" i="13"/>
  <c r="AD8" i="13"/>
  <c r="AD7" i="13"/>
  <c r="AD6" i="13"/>
  <c r="AC5" i="13"/>
  <c r="AA9" i="13"/>
  <c r="AA8" i="13"/>
  <c r="AA7" i="13"/>
  <c r="AA6" i="13"/>
  <c r="Z5" i="13"/>
  <c r="X9" i="13"/>
  <c r="X8" i="13"/>
  <c r="X7" i="13"/>
  <c r="X6" i="13"/>
  <c r="W5" i="13"/>
  <c r="U9" i="13"/>
  <c r="U8" i="13"/>
  <c r="U7" i="13"/>
  <c r="U6" i="13"/>
  <c r="T5" i="13"/>
  <c r="R9" i="13"/>
  <c r="R8" i="13"/>
  <c r="R7" i="13"/>
  <c r="R6" i="13"/>
  <c r="Q5" i="13"/>
  <c r="O9" i="13"/>
  <c r="O8" i="13"/>
  <c r="O7" i="13"/>
  <c r="O6" i="13"/>
  <c r="L9" i="13"/>
  <c r="L8" i="13"/>
  <c r="L7" i="13"/>
  <c r="L6" i="13"/>
  <c r="K5" i="13"/>
  <c r="I9" i="13"/>
  <c r="I8" i="13"/>
  <c r="I7" i="13"/>
  <c r="I6" i="13"/>
  <c r="H5" i="13"/>
  <c r="G9" i="13"/>
  <c r="G8" i="13"/>
  <c r="G7" i="13"/>
  <c r="G6" i="13"/>
  <c r="F5" i="13"/>
  <c r="E9" i="13"/>
  <c r="E8" i="13"/>
  <c r="E7" i="13"/>
  <c r="E6" i="13"/>
  <c r="C6" i="13"/>
  <c r="C7" i="13"/>
  <c r="C9" i="13"/>
  <c r="C8" i="13"/>
  <c r="X12" i="13"/>
  <c r="X13" i="13"/>
  <c r="AG12" i="13"/>
  <c r="AG13" i="13" s="1"/>
  <c r="AD12" i="13"/>
  <c r="AD13" i="13"/>
  <c r="AA12" i="13"/>
  <c r="AA13" i="13"/>
  <c r="U12" i="13"/>
  <c r="U13" i="13"/>
  <c r="R12" i="13"/>
  <c r="R13" i="13"/>
  <c r="O12" i="13"/>
  <c r="O13" i="13"/>
  <c r="L12" i="13"/>
  <c r="L13" i="13"/>
  <c r="I12" i="13"/>
  <c r="I13" i="13"/>
  <c r="G12" i="13"/>
  <c r="G13" i="13"/>
  <c r="E12" i="13"/>
  <c r="E13" i="13"/>
  <c r="C12" i="13"/>
  <c r="C13" i="13"/>
  <c r="V8" i="12"/>
  <c r="V7" i="12"/>
  <c r="V6" i="12"/>
  <c r="V5" i="12"/>
  <c r="T8" i="12"/>
  <c r="T7" i="12"/>
  <c r="T6" i="12"/>
  <c r="T5" i="12"/>
  <c r="R8" i="12"/>
  <c r="R7" i="12"/>
  <c r="R6" i="12"/>
  <c r="R5" i="12"/>
  <c r="P8" i="12"/>
  <c r="P7" i="12"/>
  <c r="P6" i="12"/>
  <c r="P5" i="12"/>
  <c r="N8" i="12"/>
  <c r="N7" i="12"/>
  <c r="N6" i="12"/>
  <c r="N5" i="12"/>
  <c r="L7" i="12"/>
  <c r="L6" i="12"/>
  <c r="L5" i="12"/>
  <c r="J8" i="12"/>
  <c r="J7" i="12"/>
  <c r="J6" i="12"/>
  <c r="J5" i="12"/>
  <c r="H8" i="12"/>
  <c r="H7" i="12"/>
  <c r="H6" i="12"/>
  <c r="H5" i="12"/>
  <c r="F8" i="12"/>
  <c r="F7" i="12"/>
  <c r="F6" i="12"/>
  <c r="F5" i="12"/>
  <c r="I5" i="12"/>
  <c r="E8" i="12"/>
  <c r="E7" i="12"/>
  <c r="E6" i="12"/>
  <c r="E5" i="12"/>
  <c r="D8" i="12"/>
  <c r="D7" i="12"/>
  <c r="D6" i="12"/>
  <c r="D5" i="12"/>
  <c r="C8" i="12"/>
  <c r="C7" i="12"/>
  <c r="C6" i="12"/>
  <c r="C5" i="12"/>
  <c r="V11" i="12"/>
  <c r="V12" i="12"/>
  <c r="T11" i="12"/>
  <c r="T12" i="12"/>
  <c r="R11" i="12"/>
  <c r="R12" i="12"/>
  <c r="P11" i="12"/>
  <c r="P12" i="12"/>
  <c r="N11" i="12"/>
  <c r="N12" i="12"/>
  <c r="L11" i="12"/>
  <c r="L12" i="12"/>
  <c r="J11" i="12"/>
  <c r="J12" i="12"/>
  <c r="H11" i="12"/>
  <c r="H12" i="12"/>
  <c r="F11" i="12"/>
  <c r="F12" i="12"/>
  <c r="E11" i="12"/>
  <c r="E12" i="12"/>
  <c r="D11" i="12"/>
  <c r="D12" i="12"/>
  <c r="C11" i="12"/>
  <c r="C12" i="12"/>
  <c r="N8" i="11"/>
  <c r="N7" i="11"/>
  <c r="N6" i="11"/>
  <c r="N5" i="11"/>
  <c r="M8" i="11"/>
  <c r="O8" i="11"/>
  <c r="M7" i="11"/>
  <c r="O7" i="11"/>
  <c r="M6" i="11"/>
  <c r="O6" i="11"/>
  <c r="M5" i="11"/>
  <c r="O5" i="11"/>
  <c r="L8" i="11"/>
  <c r="L7" i="11"/>
  <c r="L6" i="11"/>
  <c r="L5" i="11"/>
  <c r="K8" i="11"/>
  <c r="K7" i="11"/>
  <c r="K6" i="11"/>
  <c r="K5" i="11"/>
  <c r="J8" i="11"/>
  <c r="J7" i="11"/>
  <c r="J6" i="11"/>
  <c r="J5" i="11"/>
  <c r="I8" i="11"/>
  <c r="I7" i="11"/>
  <c r="I6" i="11"/>
  <c r="I5" i="11"/>
  <c r="H8" i="11"/>
  <c r="H7" i="11"/>
  <c r="H6" i="11"/>
  <c r="H5" i="11"/>
  <c r="G8" i="11"/>
  <c r="G7" i="11"/>
  <c r="G6" i="11"/>
  <c r="G5" i="11"/>
  <c r="F8" i="11"/>
  <c r="F7" i="11"/>
  <c r="F6" i="11"/>
  <c r="F5" i="11"/>
  <c r="E8" i="11"/>
  <c r="E7" i="11"/>
  <c r="E6" i="11"/>
  <c r="E5" i="11"/>
  <c r="E11" i="11"/>
  <c r="D8" i="11"/>
  <c r="D7" i="11"/>
  <c r="D6" i="11"/>
  <c r="D5" i="11"/>
  <c r="C8" i="11"/>
  <c r="Q8" i="11"/>
  <c r="C7" i="11"/>
  <c r="Q7" i="11"/>
  <c r="C6" i="11"/>
  <c r="Q6" i="11"/>
  <c r="C5" i="11"/>
  <c r="Q5" i="11"/>
  <c r="G11" i="11"/>
  <c r="G12" i="11"/>
  <c r="E12" i="11"/>
  <c r="D11" i="11"/>
  <c r="D12" i="11"/>
  <c r="C11" i="11"/>
  <c r="C12" i="11"/>
  <c r="K11" i="11"/>
  <c r="K12" i="11"/>
  <c r="L11" i="11"/>
  <c r="L12" i="11"/>
  <c r="H11" i="11"/>
  <c r="H12" i="11"/>
  <c r="M11" i="11"/>
  <c r="M12" i="11"/>
  <c r="I11" i="11"/>
  <c r="I12" i="11"/>
  <c r="N11" i="11"/>
  <c r="N12" i="11"/>
  <c r="J11" i="11"/>
  <c r="J12" i="11"/>
  <c r="F11" i="11"/>
  <c r="F12" i="11"/>
  <c r="N8" i="10"/>
  <c r="N7" i="10"/>
  <c r="N6" i="10"/>
  <c r="N5" i="10"/>
  <c r="M7" i="10"/>
  <c r="M8" i="10"/>
  <c r="M6" i="10"/>
  <c r="M5" i="10"/>
  <c r="L8" i="10"/>
  <c r="L7" i="10"/>
  <c r="L6" i="10"/>
  <c r="L5" i="10"/>
  <c r="K8" i="10"/>
  <c r="K7" i="10"/>
  <c r="K6" i="10"/>
  <c r="K5" i="10"/>
  <c r="J8" i="10"/>
  <c r="J7" i="10"/>
  <c r="J6" i="10"/>
  <c r="J5" i="10"/>
  <c r="I7" i="10"/>
  <c r="I6" i="10"/>
  <c r="I5" i="10"/>
  <c r="H7" i="10"/>
  <c r="H6" i="10"/>
  <c r="H5" i="10"/>
  <c r="H11" i="10"/>
  <c r="G7" i="10"/>
  <c r="G6" i="10"/>
  <c r="G5" i="10"/>
  <c r="F7" i="10"/>
  <c r="F6" i="10"/>
  <c r="F5" i="10"/>
  <c r="K11" i="10"/>
  <c r="K12" i="10"/>
  <c r="J11" i="10"/>
  <c r="J12" i="10"/>
  <c r="H12" i="10"/>
  <c r="G11" i="10"/>
  <c r="G12" i="10"/>
  <c r="F11" i="10"/>
  <c r="F12" i="10"/>
  <c r="E11" i="10"/>
  <c r="E12" i="10"/>
  <c r="C11" i="10"/>
  <c r="C12" i="10"/>
  <c r="N11" i="10"/>
  <c r="N12" i="10"/>
  <c r="M11" i="10"/>
  <c r="M12" i="10"/>
  <c r="L11" i="10"/>
  <c r="L12" i="10"/>
  <c r="I11" i="10"/>
  <c r="I12" i="10"/>
  <c r="D11" i="10"/>
  <c r="D12" i="10"/>
  <c r="N8" i="9"/>
  <c r="N7" i="9"/>
  <c r="N6" i="9"/>
  <c r="N5" i="9"/>
  <c r="M8" i="9"/>
  <c r="M7" i="9"/>
  <c r="M6" i="9"/>
  <c r="M5" i="9"/>
  <c r="L8" i="9"/>
  <c r="L7" i="9"/>
  <c r="L6" i="9"/>
  <c r="L5" i="9"/>
  <c r="J11" i="9"/>
  <c r="J12" i="9"/>
  <c r="I5" i="9"/>
  <c r="I7" i="9"/>
  <c r="I6" i="9"/>
  <c r="I11" i="9"/>
  <c r="I12" i="9"/>
  <c r="G11" i="9"/>
  <c r="G12" i="9"/>
  <c r="E7" i="9"/>
  <c r="E5" i="9"/>
  <c r="D7" i="9"/>
  <c r="D6" i="9"/>
  <c r="D5" i="9"/>
  <c r="C7" i="9"/>
  <c r="C6" i="9"/>
  <c r="C5" i="9"/>
  <c r="C11" i="9"/>
  <c r="C12" i="9"/>
  <c r="N11" i="9"/>
  <c r="N12" i="9"/>
  <c r="M11" i="9"/>
  <c r="M12" i="9"/>
  <c r="L11" i="9"/>
  <c r="L12" i="9"/>
  <c r="K11" i="9"/>
  <c r="K12" i="9"/>
  <c r="H11" i="9"/>
  <c r="H12" i="9"/>
  <c r="F11" i="9"/>
  <c r="F12" i="9"/>
  <c r="E11" i="9"/>
  <c r="E12" i="9"/>
  <c r="D11" i="9"/>
  <c r="D12" i="9"/>
  <c r="M11" i="8"/>
  <c r="N11" i="8"/>
  <c r="N12" i="8"/>
  <c r="M12" i="8"/>
  <c r="L11" i="8"/>
  <c r="L12" i="8"/>
  <c r="K11" i="8"/>
  <c r="K12" i="8"/>
  <c r="J11" i="8"/>
  <c r="J12" i="8"/>
  <c r="I11" i="8"/>
  <c r="I12" i="8"/>
  <c r="H11" i="8"/>
  <c r="H12" i="8"/>
  <c r="G11" i="8"/>
  <c r="G12" i="8"/>
  <c r="F11" i="8"/>
  <c r="F12" i="8"/>
  <c r="E11" i="8"/>
  <c r="E12" i="8"/>
  <c r="D11" i="8"/>
  <c r="D12" i="8"/>
  <c r="C11" i="8"/>
  <c r="C12" i="8"/>
  <c r="D11" i="7"/>
  <c r="E11" i="7"/>
  <c r="F11" i="7"/>
  <c r="G11" i="7"/>
  <c r="H11" i="7"/>
  <c r="I11" i="7"/>
  <c r="J11" i="7"/>
  <c r="K11" i="7"/>
  <c r="L11" i="7"/>
  <c r="M11" i="7"/>
  <c r="N11" i="7"/>
  <c r="C11" i="7"/>
  <c r="C12" i="7"/>
  <c r="D11" i="6"/>
  <c r="E11" i="6"/>
  <c r="F11" i="6"/>
  <c r="G11" i="6"/>
  <c r="H11" i="6"/>
  <c r="I11" i="6"/>
  <c r="J11" i="6"/>
  <c r="K11" i="6"/>
  <c r="L11" i="6"/>
  <c r="M11" i="6"/>
  <c r="N11" i="6"/>
  <c r="N12" i="6"/>
  <c r="C11" i="6"/>
  <c r="D11" i="5"/>
  <c r="E11" i="5"/>
  <c r="F11" i="5"/>
  <c r="G11" i="5"/>
  <c r="H11" i="5"/>
  <c r="I11" i="5"/>
  <c r="J11" i="5"/>
  <c r="K11" i="5"/>
  <c r="L11" i="5"/>
  <c r="M11" i="5"/>
  <c r="N11" i="5"/>
  <c r="C11" i="5"/>
  <c r="F12" i="7"/>
  <c r="N12" i="7"/>
  <c r="M12" i="7"/>
  <c r="L12" i="7"/>
  <c r="K12" i="7"/>
  <c r="J12" i="7"/>
  <c r="I12" i="7"/>
  <c r="H12" i="7"/>
  <c r="G12" i="7"/>
  <c r="E12" i="7"/>
  <c r="D12" i="7"/>
  <c r="M12" i="6"/>
  <c r="L12" i="6"/>
  <c r="K12" i="6"/>
  <c r="J12" i="6"/>
  <c r="I12" i="6"/>
  <c r="H12" i="6"/>
  <c r="G12" i="6"/>
  <c r="F12" i="6"/>
  <c r="E12" i="6"/>
  <c r="D12" i="6"/>
  <c r="C12" i="6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<sst xmlns="http://schemas.openxmlformats.org/spreadsheetml/2006/main" count="292" uniqueCount="37">
  <si>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</si>
  <si>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</si>
  <si>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</si>
  <si>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</si>
  <si>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</si>
  <si>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</si>
  <si>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</si>
  <si>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</si>
  <si>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</si>
  <si>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</si>
  <si>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</si>
  <si>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</si>
  <si>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</si>
  <si>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</si>
  <si>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</si>
  <si>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СН2</t>
  </si>
  <si>
    <t>ИТОГО</t>
  </si>
  <si>
    <t>Прочие потребители, МВтч</t>
  </si>
  <si>
    <t>Население, МВтч</t>
  </si>
  <si>
    <t>МРСК Центра - филиал "Рязаньэнерго"</t>
  </si>
  <si>
    <t>СН1</t>
  </si>
  <si>
    <t>НН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</si>
  <si>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</si>
  <si>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</si>
  <si>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</si>
  <si>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2016 год</t>
  </si>
  <si>
    <t>ПАО "МРСК Центра и Приволжья" - филиал "Рязаньэнерго"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</si>
  <si>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</si>
  <si>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</si>
  <si>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</si>
  <si>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</si>
  <si>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2021 год</t>
  </si>
  <si>
    <t>ГН</t>
  </si>
  <si>
    <t>филиал ПАО "Россети Центр и Приволжье" -  "Рязаньэнерго"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</si>
  <si>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</si>
  <si>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</si>
  <si>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Рязанской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</si>
</sst>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9" applyNumberFormat="0" applyAlignment="0" applyProtection="0"/>
    <xf numFmtId="0" fontId="10" fillId="21" borderId="10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0" borderId="14" applyNumberFormat="0" applyFill="0" applyAlignment="0" applyProtection="0"/>
    <xf numFmtId="0" fontId="18" fillId="22" borderId="0" applyNumberFormat="0" applyBorder="0" applyAlignment="0" applyProtection="0"/>
    <xf numFmtId="0" fontId="4" fillId="23" borderId="15" applyNumberFormat="0" applyFont="0" applyAlignment="0" applyProtection="0"/>
    <xf numFmtId="0" fontId="19" fillId="20" borderId="16" applyNumberFormat="0" applyAlignment="0" applyProtection="0"/>
    <xf numFmtId="0" fontId="20" fillId="24" borderId="0">
      <alignment horizontal="center" vertical="center"/>
    </xf>
    <xf numFmtId="0" fontId="21" fillId="24" borderId="0">
      <alignment horizontal="left" vertical="top"/>
    </xf>
    <xf numFmtId="0" fontId="22" fillId="23" borderId="0">
      <alignment horizontal="center" vertical="top"/>
    </xf>
    <xf numFmtId="0" fontId="23" fillId="23" borderId="0">
      <alignment horizontal="center" vertical="top"/>
    </xf>
    <xf numFmtId="0" fontId="22" fillId="23" borderId="0">
      <alignment horizontal="left" vertical="top"/>
    </xf>
    <xf numFmtId="0" fontId="22" fillId="23" borderId="0">
      <alignment horizontal="center" vertical="top"/>
    </xf>
    <xf numFmtId="0" fontId="22" fillId="23" borderId="0">
      <alignment horizontal="center" vertical="top"/>
    </xf>
    <xf numFmtId="0" fontId="22" fillId="23" borderId="0">
      <alignment horizontal="center" vertical="top"/>
    </xf>
    <xf numFmtId="0" fontId="24" fillId="0" borderId="0">
      <alignment horizontal="left" vertical="top"/>
    </xf>
    <xf numFmtId="0" fontId="22" fillId="0" borderId="0">
      <alignment horizontal="center" vertical="top"/>
    </xf>
    <xf numFmtId="0" fontId="22" fillId="0" borderId="0">
      <alignment horizontal="right" vertical="top"/>
    </xf>
    <xf numFmtId="0" fontId="22" fillId="0" borderId="0">
      <alignment horizontal="center" vertical="top"/>
    </xf>
    <xf numFmtId="0" fontId="25" fillId="22" borderId="0">
      <alignment horizontal="center" vertical="center"/>
    </xf>
    <xf numFmtId="0" fontId="22" fillId="0" borderId="0">
      <alignment horizontal="center" vertical="top"/>
    </xf>
    <xf numFmtId="0" fontId="22" fillId="24" borderId="0">
      <alignment horizontal="right" vertical="top"/>
    </xf>
    <xf numFmtId="0" fontId="22" fillId="0" borderId="0">
      <alignment horizontal="right" vertical="top"/>
    </xf>
    <xf numFmtId="0" fontId="24" fillId="0" borderId="0">
      <alignment horizontal="left" vertical="top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7" fillId="23" borderId="0">
      <alignment horizontal="left" vertical="center"/>
    </xf>
    <xf numFmtId="0" fontId="22" fillId="24" borderId="0">
      <alignment horizontal="center" vertical="center"/>
    </xf>
    <xf numFmtId="0" fontId="22" fillId="24" borderId="0">
      <alignment horizontal="left" vertical="center"/>
    </xf>
    <xf numFmtId="0" fontId="22" fillId="24" borderId="0">
      <alignment horizontal="right" vertical="center"/>
    </xf>
    <xf numFmtId="0" fontId="28" fillId="22" borderId="0">
      <alignment horizontal="center" vertical="center"/>
    </xf>
    <xf numFmtId="0" fontId="22" fillId="23" borderId="0">
      <alignment horizontal="left" vertical="top"/>
    </xf>
    <xf numFmtId="0" fontId="23" fillId="23" borderId="0">
      <alignment horizontal="left" vertical="top"/>
    </xf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vertical="center"/>
    </xf>
    <xf numFmtId="3" fontId="32" fillId="0" borderId="0" xfId="0" applyNumberFormat="1" applyFont="1"/>
    <xf numFmtId="3" fontId="33" fillId="0" borderId="0" xfId="0" applyNumberFormat="1" applyFont="1"/>
    <xf numFmtId="0" fontId="33" fillId="0" borderId="0" xfId="0" applyFont="1"/>
    <xf numFmtId="0" fontId="33" fillId="0" borderId="0" xfId="0" applyFont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164" fontId="3" fillId="0" borderId="18" xfId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/>
    <xf numFmtId="3" fontId="3" fillId="0" borderId="18" xfId="0" applyNumberFormat="1" applyFont="1" applyBorder="1"/>
    <xf numFmtId="165" fontId="2" fillId="0" borderId="0" xfId="1" applyNumberFormat="1" applyFont="1"/>
    <xf numFmtId="0" fontId="34" fillId="0" borderId="0" xfId="0" applyFont="1"/>
    <xf numFmtId="0" fontId="34" fillId="0" borderId="0" xfId="0" applyFont="1" applyAlignment="1">
      <alignment vertical="center"/>
    </xf>
    <xf numFmtId="3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7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0" xfId="41"/>
    <cellStyle name="S1" xfId="42"/>
    <cellStyle name="S10" xfId="43"/>
    <cellStyle name="S11" xfId="44"/>
    <cellStyle name="S12" xfId="45"/>
    <cellStyle name="S13" xfId="46"/>
    <cellStyle name="S14" xfId="47"/>
    <cellStyle name="S15" xfId="48"/>
    <cellStyle name="S16" xfId="49"/>
    <cellStyle name="S17" xfId="50"/>
    <cellStyle name="S18" xfId="51"/>
    <cellStyle name="S19" xfId="52"/>
    <cellStyle name="S2" xfId="53"/>
    <cellStyle name="S20" xfId="54"/>
    <cellStyle name="S21" xfId="55"/>
    <cellStyle name="S22" xfId="56"/>
    <cellStyle name="S23" xfId="57"/>
    <cellStyle name="S24" xfId="58"/>
    <cellStyle name="S25" xfId="59"/>
    <cellStyle name="S3" xfId="60"/>
    <cellStyle name="S4" xfId="61"/>
    <cellStyle name="S5" xfId="62"/>
    <cellStyle name="S6" xfId="63"/>
    <cellStyle name="S7" xfId="64"/>
    <cellStyle name="S8" xfId="65"/>
    <cellStyle name="S9" xfId="66"/>
    <cellStyle name="Title" xfId="67"/>
    <cellStyle name="Total" xfId="68"/>
    <cellStyle name="Warning Text" xfId="69"/>
    <cellStyle name="Обычный" xfId="0" builtinId="0"/>
    <cellStyle name="Обычный 2" xfId="2"/>
    <cellStyle name="Стиль 1" xfId="70"/>
    <cellStyle name="Финансовый" xfId="1" builtinId="3"/>
    <cellStyle name="Финансовый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9" sqref="A9:XFD9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33" t="s">
        <v>19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34"/>
      <c r="B5" s="5" t="s">
        <v>14</v>
      </c>
      <c r="C5" s="3">
        <v>43360534</v>
      </c>
      <c r="D5" s="3">
        <v>38157078</v>
      </c>
      <c r="E5" s="3">
        <v>44992663</v>
      </c>
      <c r="F5" s="3">
        <v>36516243</v>
      </c>
      <c r="G5" s="3">
        <v>35570660</v>
      </c>
      <c r="H5" s="3">
        <v>34936912</v>
      </c>
      <c r="I5" s="3">
        <v>36553096</v>
      </c>
      <c r="J5" s="3">
        <v>37788410</v>
      </c>
      <c r="K5" s="3">
        <v>35415370</v>
      </c>
      <c r="L5" s="3">
        <v>39407498</v>
      </c>
      <c r="M5" s="3">
        <v>38834477</v>
      </c>
      <c r="N5" s="3">
        <v>45770059</v>
      </c>
    </row>
    <row r="6" spans="1:14" ht="22.5" customHeight="1" x14ac:dyDescent="0.25">
      <c r="A6" s="34"/>
      <c r="B6" s="5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4"/>
      <c r="B7" s="5" t="s">
        <v>15</v>
      </c>
      <c r="C7" s="3">
        <v>333733</v>
      </c>
      <c r="D7" s="3">
        <v>292412</v>
      </c>
      <c r="E7" s="3">
        <v>369978</v>
      </c>
      <c r="F7" s="3">
        <v>337180</v>
      </c>
      <c r="G7" s="3">
        <v>233860</v>
      </c>
      <c r="H7" s="3">
        <v>155332</v>
      </c>
      <c r="I7" s="3">
        <v>202724</v>
      </c>
      <c r="J7" s="3">
        <v>265329</v>
      </c>
      <c r="K7" s="3">
        <v>238259</v>
      </c>
      <c r="L7" s="3">
        <v>291636</v>
      </c>
      <c r="M7" s="3">
        <v>310345</v>
      </c>
      <c r="N7" s="3">
        <v>302106</v>
      </c>
    </row>
    <row r="8" spans="1:14" ht="22.5" customHeight="1" x14ac:dyDescent="0.25">
      <c r="A8" s="34"/>
      <c r="B8" s="5" t="s">
        <v>21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4"/>
      <c r="B9" s="30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22.5" customHeight="1" x14ac:dyDescent="0.25">
      <c r="A10" s="3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35"/>
      <c r="B11" s="6" t="s">
        <v>16</v>
      </c>
      <c r="C11" s="3">
        <f t="shared" ref="C11:N11" si="0">SUM(C5:C8,C10)</f>
        <v>43694267</v>
      </c>
      <c r="D11" s="3">
        <f t="shared" si="0"/>
        <v>38449490</v>
      </c>
      <c r="E11" s="3">
        <f t="shared" si="0"/>
        <v>45362641</v>
      </c>
      <c r="F11" s="3">
        <f t="shared" si="0"/>
        <v>36853423</v>
      </c>
      <c r="G11" s="3">
        <f t="shared" si="0"/>
        <v>35804520</v>
      </c>
      <c r="H11" s="3">
        <f t="shared" si="0"/>
        <v>35092244</v>
      </c>
      <c r="I11" s="3">
        <f t="shared" si="0"/>
        <v>36755820</v>
      </c>
      <c r="J11" s="3">
        <f t="shared" si="0"/>
        <v>38053739</v>
      </c>
      <c r="K11" s="3">
        <f t="shared" si="0"/>
        <v>35653629</v>
      </c>
      <c r="L11" s="3">
        <f t="shared" si="0"/>
        <v>39699134</v>
      </c>
      <c r="M11" s="3">
        <f t="shared" si="0"/>
        <v>39144822</v>
      </c>
      <c r="N11" s="3">
        <f t="shared" si="0"/>
        <v>46072165</v>
      </c>
    </row>
    <row r="12" spans="1:14" ht="22.5" customHeight="1" x14ac:dyDescent="0.25">
      <c r="A12" s="36" t="s">
        <v>16</v>
      </c>
      <c r="B12" s="37"/>
      <c r="C12" s="10">
        <f>C11</f>
        <v>43694267</v>
      </c>
      <c r="D12" s="10">
        <f t="shared" ref="D12:N12" si="1">D11</f>
        <v>38449490</v>
      </c>
      <c r="E12" s="10">
        <f t="shared" si="1"/>
        <v>45362641</v>
      </c>
      <c r="F12" s="10">
        <f t="shared" si="1"/>
        <v>36853423</v>
      </c>
      <c r="G12" s="10">
        <f t="shared" si="1"/>
        <v>35804520</v>
      </c>
      <c r="H12" s="10">
        <f t="shared" si="1"/>
        <v>35092244</v>
      </c>
      <c r="I12" s="10">
        <f t="shared" si="1"/>
        <v>36755820</v>
      </c>
      <c r="J12" s="10">
        <f t="shared" si="1"/>
        <v>38053739</v>
      </c>
      <c r="K12" s="10">
        <f t="shared" si="1"/>
        <v>35653629</v>
      </c>
      <c r="L12" s="10">
        <f t="shared" si="1"/>
        <v>39699134</v>
      </c>
      <c r="M12" s="10">
        <f t="shared" si="1"/>
        <v>39144822</v>
      </c>
      <c r="N12" s="10">
        <f t="shared" si="1"/>
        <v>46072165</v>
      </c>
    </row>
  </sheetData>
  <mergeCells count="5">
    <mergeCell ref="A2:N2"/>
    <mergeCell ref="B4:N4"/>
    <mergeCell ref="A4:A11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5"/>
  <sheetViews>
    <sheetView zoomScale="70" zoomScaleNormal="70" workbookViewId="0">
      <selection activeCell="AS5" sqref="AS5:AS9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8.140625" style="1" hidden="1" customWidth="1"/>
    <col min="4" max="4" width="20.5703125" style="1" customWidth="1"/>
    <col min="5" max="6" width="20.5703125" style="1" hidden="1" customWidth="1"/>
    <col min="7" max="7" width="20.5703125" style="1" customWidth="1"/>
    <col min="8" max="9" width="20.5703125" style="1" hidden="1" customWidth="1"/>
    <col min="10" max="10" width="20.5703125" style="1" customWidth="1"/>
    <col min="11" max="12" width="20.5703125" style="1" hidden="1" customWidth="1"/>
    <col min="13" max="13" width="20.5703125" style="1" customWidth="1"/>
    <col min="14" max="16" width="20.5703125" style="1" hidden="1" customWidth="1"/>
    <col min="17" max="17" width="20.5703125" style="1" customWidth="1"/>
    <col min="18" max="19" width="20.5703125" style="1" hidden="1" customWidth="1"/>
    <col min="20" max="20" width="20.5703125" style="1" customWidth="1"/>
    <col min="21" max="23" width="20.5703125" style="1" hidden="1" customWidth="1"/>
    <col min="24" max="24" width="20.5703125" style="1" customWidth="1"/>
    <col min="25" max="27" width="20.5703125" style="1" hidden="1" customWidth="1"/>
    <col min="28" max="28" width="20.5703125" style="1" customWidth="1"/>
    <col min="29" max="31" width="20.5703125" style="1" hidden="1" customWidth="1"/>
    <col min="32" max="32" width="20.5703125" style="1" customWidth="1"/>
    <col min="33" max="35" width="20.5703125" style="1" hidden="1" customWidth="1"/>
    <col min="36" max="36" width="20.5703125" style="1" customWidth="1"/>
    <col min="37" max="39" width="20.5703125" style="1" hidden="1" customWidth="1"/>
    <col min="40" max="40" width="20.5703125" style="1" customWidth="1"/>
    <col min="41" max="43" width="20.5703125" style="1" hidden="1" customWidth="1"/>
    <col min="44" max="44" width="20.5703125" style="1" customWidth="1"/>
    <col min="45" max="45" width="11" style="26" customWidth="1"/>
    <col min="46" max="16384" width="9.140625" style="1"/>
  </cols>
  <sheetData>
    <row r="2" spans="1:45" ht="42.75" customHeight="1" x14ac:dyDescent="0.2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1:45" s="2" customFormat="1" ht="33" customHeight="1" x14ac:dyDescent="0.25">
      <c r="A3" s="7" t="s">
        <v>0</v>
      </c>
      <c r="B3" s="8" t="s">
        <v>1</v>
      </c>
      <c r="C3" s="21"/>
      <c r="D3" s="9" t="s">
        <v>2</v>
      </c>
      <c r="E3" s="18"/>
      <c r="F3" s="18"/>
      <c r="G3" s="9" t="s">
        <v>3</v>
      </c>
      <c r="H3" s="18"/>
      <c r="I3" s="18"/>
      <c r="J3" s="9" t="s">
        <v>4</v>
      </c>
      <c r="K3" s="18"/>
      <c r="L3" s="18"/>
      <c r="M3" s="9" t="s">
        <v>5</v>
      </c>
      <c r="N3" s="9"/>
      <c r="O3" s="18"/>
      <c r="P3" s="18"/>
      <c r="Q3" s="9" t="s">
        <v>6</v>
      </c>
      <c r="R3" s="9"/>
      <c r="S3" s="18"/>
      <c r="T3" s="9" t="s">
        <v>7</v>
      </c>
      <c r="U3" s="9"/>
      <c r="V3" s="18"/>
      <c r="W3" s="18"/>
      <c r="X3" s="9" t="s">
        <v>8</v>
      </c>
      <c r="Y3" s="9"/>
      <c r="Z3" s="18"/>
      <c r="AA3" s="18"/>
      <c r="AB3" s="9" t="s">
        <v>9</v>
      </c>
      <c r="AC3" s="9"/>
      <c r="AD3" s="18"/>
      <c r="AE3" s="18"/>
      <c r="AF3" s="9" t="s">
        <v>10</v>
      </c>
      <c r="AG3" s="9"/>
      <c r="AH3" s="18"/>
      <c r="AI3" s="18"/>
      <c r="AJ3" s="9" t="s">
        <v>11</v>
      </c>
      <c r="AK3" s="9"/>
      <c r="AL3" s="18"/>
      <c r="AM3" s="18"/>
      <c r="AN3" s="9" t="s">
        <v>12</v>
      </c>
      <c r="AO3" s="9"/>
      <c r="AP3" s="18"/>
      <c r="AQ3" s="18"/>
      <c r="AR3" s="9" t="s">
        <v>13</v>
      </c>
      <c r="AS3" s="27"/>
    </row>
    <row r="4" spans="1:45" ht="22.5" customHeight="1" x14ac:dyDescent="0.25">
      <c r="A4" s="33" t="s">
        <v>33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2"/>
    </row>
    <row r="5" spans="1:45" ht="22.5" customHeight="1" x14ac:dyDescent="0.25">
      <c r="A5" s="34"/>
      <c r="B5" s="17" t="s">
        <v>32</v>
      </c>
      <c r="C5" s="17"/>
      <c r="D5" s="17">
        <v>166331.00000000003</v>
      </c>
      <c r="E5" s="17"/>
      <c r="F5" s="17">
        <v>0.70622691239856528</v>
      </c>
      <c r="G5" s="17">
        <v>100328</v>
      </c>
      <c r="H5" s="17"/>
      <c r="I5" s="17">
        <v>0.82801022416335901</v>
      </c>
      <c r="J5" s="17">
        <v>135274</v>
      </c>
      <c r="K5" s="17"/>
      <c r="L5" s="17">
        <v>0.68579364852094726</v>
      </c>
      <c r="M5" s="17">
        <v>116112.00000000001</v>
      </c>
      <c r="N5" s="17"/>
      <c r="O5" s="17"/>
      <c r="P5" s="17">
        <v>0.66919986972098577</v>
      </c>
      <c r="Q5" s="17">
        <v>117522</v>
      </c>
      <c r="R5" s="17"/>
      <c r="S5" s="17"/>
      <c r="T5" s="17">
        <v>89798.999999999985</v>
      </c>
      <c r="U5" s="17"/>
      <c r="V5" s="17"/>
      <c r="W5" s="17">
        <v>1.1444225906153414</v>
      </c>
      <c r="X5" s="17">
        <v>59299</v>
      </c>
      <c r="Y5" s="17"/>
      <c r="Z5" s="17"/>
      <c r="AA5" s="17">
        <v>0.84877649562157298</v>
      </c>
      <c r="AB5" s="17">
        <v>39777</v>
      </c>
      <c r="AC5" s="17"/>
      <c r="AD5" s="17"/>
      <c r="AE5" s="17">
        <v>1.6291268127121259</v>
      </c>
      <c r="AF5" s="17">
        <v>72398</v>
      </c>
      <c r="AG5" s="17"/>
      <c r="AH5" s="17"/>
      <c r="AI5" s="17">
        <v>1.3286458333333333</v>
      </c>
      <c r="AJ5" s="17">
        <v>92013</v>
      </c>
      <c r="AK5" s="17"/>
      <c r="AL5" s="17"/>
      <c r="AM5" s="17">
        <v>1.1290670325362604</v>
      </c>
      <c r="AN5" s="17">
        <v>128523</v>
      </c>
      <c r="AO5" s="17"/>
      <c r="AP5" s="17"/>
      <c r="AQ5" s="17">
        <v>1.3779501463730264</v>
      </c>
      <c r="AR5" s="17">
        <v>179140</v>
      </c>
    </row>
    <row r="6" spans="1:45" ht="22.5" customHeight="1" x14ac:dyDescent="0.25">
      <c r="A6" s="34"/>
      <c r="B6" s="5" t="s">
        <v>14</v>
      </c>
      <c r="C6" s="22">
        <v>0.9698060834820571</v>
      </c>
      <c r="D6" s="3">
        <f>312881+44251483</f>
        <v>44564364</v>
      </c>
      <c r="E6" s="17"/>
      <c r="F6" s="17">
        <v>0.96988940521780398</v>
      </c>
      <c r="G6" s="3">
        <f>252451+38267430</f>
        <v>38519881</v>
      </c>
      <c r="H6" s="17"/>
      <c r="I6" s="17">
        <v>1.0401168465472506</v>
      </c>
      <c r="J6" s="3">
        <f>44640431+244015</f>
        <v>44884446</v>
      </c>
      <c r="K6" s="17"/>
      <c r="L6" s="17">
        <v>0.8650012275256137</v>
      </c>
      <c r="M6" s="3">
        <f>38438402+176798</f>
        <v>38615200</v>
      </c>
      <c r="N6" s="3"/>
      <c r="O6" s="17"/>
      <c r="P6" s="17">
        <v>0.96355290607021493</v>
      </c>
      <c r="Q6" s="3">
        <f>35368674+106733</f>
        <v>35475407</v>
      </c>
      <c r="R6" s="3"/>
      <c r="S6" s="17"/>
      <c r="T6" s="3">
        <f>41968+32255110</f>
        <v>32297078</v>
      </c>
      <c r="U6" s="3"/>
      <c r="V6" s="17"/>
      <c r="W6" s="17">
        <v>1.0679097354745462</v>
      </c>
      <c r="X6" s="3">
        <f>49874+35143279</f>
        <v>35193153</v>
      </c>
      <c r="Y6" s="3"/>
      <c r="Z6" s="17"/>
      <c r="AA6" s="17">
        <v>1.0079276656680971</v>
      </c>
      <c r="AB6" s="3">
        <f>71500+36670495</f>
        <v>36741995</v>
      </c>
      <c r="AC6" s="3"/>
      <c r="AD6" s="17"/>
      <c r="AE6" s="17">
        <v>0.9786698245889569</v>
      </c>
      <c r="AF6" s="3">
        <f>35005140+94075</f>
        <v>35099215</v>
      </c>
      <c r="AG6" s="3"/>
      <c r="AH6" s="17"/>
      <c r="AI6" s="17">
        <v>1.0946033021628281</v>
      </c>
      <c r="AJ6" s="3">
        <f>37842560+181367</f>
        <v>38023927</v>
      </c>
      <c r="AK6" s="3"/>
      <c r="AL6" s="17"/>
      <c r="AM6" s="17">
        <v>1.0231103717124628</v>
      </c>
      <c r="AN6" s="3">
        <f>40717722+185145</f>
        <v>40902867</v>
      </c>
      <c r="AO6" s="3"/>
      <c r="AP6" s="17"/>
      <c r="AQ6" s="17">
        <v>1.1073369862251399</v>
      </c>
      <c r="AR6" s="3">
        <f>219032+44032070</f>
        <v>44251102</v>
      </c>
    </row>
    <row r="7" spans="1:45" ht="22.5" customHeight="1" x14ac:dyDescent="0.25">
      <c r="A7" s="34"/>
      <c r="B7" s="5" t="s">
        <v>20</v>
      </c>
      <c r="C7" s="22">
        <v>0.73570096971785759</v>
      </c>
      <c r="D7" s="3">
        <f>44346+3196</f>
        <v>47542</v>
      </c>
      <c r="E7" s="17"/>
      <c r="F7" s="17">
        <v>0.88812231165623268</v>
      </c>
      <c r="G7" s="3">
        <f>32419+4490</f>
        <v>36909</v>
      </c>
      <c r="H7" s="17"/>
      <c r="I7" s="17">
        <v>0.88266040088232478</v>
      </c>
      <c r="J7" s="3">
        <f>10809+32782</f>
        <v>43591</v>
      </c>
      <c r="K7" s="17"/>
      <c r="L7" s="17">
        <v>0.87205954256532836</v>
      </c>
      <c r="M7" s="3">
        <f>11810+23676</f>
        <v>35486</v>
      </c>
      <c r="N7" s="3"/>
      <c r="O7" s="17"/>
      <c r="P7" s="17">
        <v>0.84076750560677793</v>
      </c>
      <c r="Q7" s="3">
        <f>12102+15820</f>
        <v>27922</v>
      </c>
      <c r="R7" s="3"/>
      <c r="S7" s="17"/>
      <c r="T7" s="3">
        <f>12968+10807</f>
        <v>23775</v>
      </c>
      <c r="U7" s="3"/>
      <c r="V7" s="17"/>
      <c r="W7" s="17">
        <v>1.2665398306124953</v>
      </c>
      <c r="X7" s="3">
        <f>11869+11787</f>
        <v>23656</v>
      </c>
      <c r="Y7" s="3"/>
      <c r="Z7" s="17"/>
      <c r="AA7" s="17">
        <v>0.78155739690846537</v>
      </c>
      <c r="AB7" s="3">
        <f>12706+10492</f>
        <v>23198</v>
      </c>
      <c r="AC7" s="3"/>
      <c r="AD7" s="17"/>
      <c r="AE7" s="17">
        <v>1.6790253580507162</v>
      </c>
      <c r="AF7" s="3">
        <f>6722+11815</f>
        <v>18537</v>
      </c>
      <c r="AG7" s="3"/>
      <c r="AH7" s="17"/>
      <c r="AI7" s="17">
        <v>1.1300542815996455</v>
      </c>
      <c r="AJ7" s="3">
        <f>6742+15351</f>
        <v>22093</v>
      </c>
      <c r="AK7" s="3"/>
      <c r="AL7" s="17"/>
      <c r="AM7" s="17">
        <v>0.93141195307649571</v>
      </c>
      <c r="AN7" s="3">
        <f>3468+17079</f>
        <v>20547</v>
      </c>
      <c r="AO7" s="3"/>
      <c r="AP7" s="17"/>
      <c r="AQ7" s="17">
        <v>1.2403522312657873</v>
      </c>
      <c r="AR7" s="3">
        <f>21294+4834</f>
        <v>26128</v>
      </c>
    </row>
    <row r="8" spans="1:45" ht="22.5" customHeight="1" x14ac:dyDescent="0.25">
      <c r="A8" s="34"/>
      <c r="B8" s="5" t="s">
        <v>15</v>
      </c>
      <c r="C8" s="22">
        <v>0.9639383678335014</v>
      </c>
      <c r="D8" s="3">
        <f>647691+268565+1964</f>
        <v>918220</v>
      </c>
      <c r="E8" s="17"/>
      <c r="F8" s="17">
        <v>1.0643228235205269</v>
      </c>
      <c r="G8" s="3">
        <f>533212+272129+1658</f>
        <v>806999</v>
      </c>
      <c r="H8" s="17"/>
      <c r="I8" s="17">
        <v>0.84437057375385094</v>
      </c>
      <c r="J8" s="3">
        <f>250257+555651+1669</f>
        <v>807577</v>
      </c>
      <c r="K8" s="17"/>
      <c r="L8" s="17">
        <v>0.74527615897363475</v>
      </c>
      <c r="M8" s="3">
        <f>221274+444666+1241</f>
        <v>667181</v>
      </c>
      <c r="N8" s="3"/>
      <c r="O8" s="17"/>
      <c r="P8" s="17">
        <v>0.7833527268057463</v>
      </c>
      <c r="Q8" s="3">
        <f>153959+360413+899</f>
        <v>515271</v>
      </c>
      <c r="R8" s="3"/>
      <c r="S8" s="17"/>
      <c r="T8" s="3">
        <f>277701+153581+339</f>
        <v>431621</v>
      </c>
      <c r="U8" s="3"/>
      <c r="V8" s="17"/>
      <c r="W8" s="17">
        <v>1.0735399292829595</v>
      </c>
      <c r="X8" s="3">
        <f>119+309557+151788</f>
        <v>461464</v>
      </c>
      <c r="Y8" s="3"/>
      <c r="Z8" s="17"/>
      <c r="AA8" s="17">
        <v>1.0434399113394959</v>
      </c>
      <c r="AB8" s="3">
        <f>327747+228824+205</f>
        <v>556776</v>
      </c>
      <c r="AC8" s="3"/>
      <c r="AD8" s="17"/>
      <c r="AE8" s="17">
        <v>1.1468388066885589</v>
      </c>
      <c r="AF8" s="3">
        <f>211382+748+372055</f>
        <v>584185</v>
      </c>
      <c r="AG8" s="3"/>
      <c r="AH8" s="17"/>
      <c r="AI8" s="17">
        <v>1.3089915798784242</v>
      </c>
      <c r="AJ8" s="3">
        <f>331762+452746</f>
        <v>784508</v>
      </c>
      <c r="AK8" s="3"/>
      <c r="AL8" s="17"/>
      <c r="AM8" s="17">
        <v>0.99530313027486961</v>
      </c>
      <c r="AN8" s="3">
        <f>415318+1581+569567</f>
        <v>986466</v>
      </c>
      <c r="AO8" s="3"/>
      <c r="AP8" s="17"/>
      <c r="AQ8" s="17">
        <v>1.3009066669506517</v>
      </c>
      <c r="AR8" s="3">
        <f>687980+421945+2081</f>
        <v>1112006</v>
      </c>
    </row>
    <row r="9" spans="1:45" ht="22.5" customHeight="1" x14ac:dyDescent="0.25">
      <c r="A9" s="34"/>
      <c r="B9" s="5" t="s">
        <v>21</v>
      </c>
      <c r="C9" s="22">
        <v>1.6678084447664845</v>
      </c>
      <c r="D9" s="3">
        <f>19269+51</f>
        <v>19320</v>
      </c>
      <c r="E9" s="17"/>
      <c r="F9" s="17">
        <v>0.78877522808957701</v>
      </c>
      <c r="G9" s="3">
        <f>15291+172</f>
        <v>15463</v>
      </c>
      <c r="H9" s="17"/>
      <c r="I9" s="17">
        <v>1.033148064693806</v>
      </c>
      <c r="J9" s="3">
        <f>14593+191</f>
        <v>14784</v>
      </c>
      <c r="K9" s="17"/>
      <c r="L9" s="17">
        <v>0.82983570009208552</v>
      </c>
      <c r="M9" s="3">
        <f>11821+183</f>
        <v>12004</v>
      </c>
      <c r="N9" s="3"/>
      <c r="O9" s="17"/>
      <c r="P9" s="17">
        <v>0.77134680527975708</v>
      </c>
      <c r="Q9" s="3">
        <f>9322+67</f>
        <v>9389</v>
      </c>
      <c r="R9" s="3"/>
      <c r="S9" s="17"/>
      <c r="T9" s="3">
        <f>7367+85</f>
        <v>7452</v>
      </c>
      <c r="U9" s="3"/>
      <c r="V9" s="17"/>
      <c r="W9" s="17">
        <v>0.80612244897959184</v>
      </c>
      <c r="X9" s="3">
        <f>162+9756</f>
        <v>9918</v>
      </c>
      <c r="Y9" s="3"/>
      <c r="Z9" s="17"/>
      <c r="AA9" s="17">
        <v>0.85207428624226189</v>
      </c>
      <c r="AB9" s="3">
        <f>10903+175</f>
        <v>11078</v>
      </c>
      <c r="AC9" s="3"/>
      <c r="AD9" s="17"/>
      <c r="AE9" s="17">
        <v>1.1299067447408371</v>
      </c>
      <c r="AF9" s="3">
        <f>160+10573</f>
        <v>10733</v>
      </c>
      <c r="AG9" s="3"/>
      <c r="AH9" s="17"/>
      <c r="AI9" s="17">
        <v>0.92322456813819576</v>
      </c>
      <c r="AJ9" s="3">
        <v>11200</v>
      </c>
      <c r="AK9" s="3"/>
      <c r="AL9" s="17"/>
      <c r="AM9" s="17">
        <v>1.0583160083160084</v>
      </c>
      <c r="AN9" s="3">
        <f>121+12327</f>
        <v>12448</v>
      </c>
      <c r="AO9" s="3"/>
      <c r="AP9" s="17"/>
      <c r="AQ9" s="17">
        <v>1.4830566741970337</v>
      </c>
      <c r="AR9" s="3">
        <f>17851+202</f>
        <v>18053</v>
      </c>
    </row>
    <row r="10" spans="1:45" ht="22.5" customHeight="1" x14ac:dyDescent="0.25">
      <c r="A10" s="34"/>
      <c r="B10" s="30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</row>
    <row r="11" spans="1:45" ht="22.5" customHeight="1" x14ac:dyDescent="0.25">
      <c r="A11" s="34"/>
      <c r="B11" s="4"/>
      <c r="C11" s="23"/>
      <c r="D11" s="3">
        <v>0</v>
      </c>
      <c r="E11" s="17"/>
      <c r="F11" s="17"/>
      <c r="G11" s="3">
        <v>0</v>
      </c>
      <c r="H11" s="17"/>
      <c r="I11" s="17"/>
      <c r="J11" s="3">
        <v>0</v>
      </c>
      <c r="K11" s="17"/>
      <c r="L11" s="17"/>
      <c r="M11" s="3">
        <v>0</v>
      </c>
      <c r="N11" s="3"/>
      <c r="O11" s="17"/>
      <c r="P11" s="17"/>
      <c r="Q11" s="3"/>
      <c r="R11" s="3"/>
      <c r="S11" s="17"/>
      <c r="T11" s="3"/>
      <c r="U11" s="3"/>
      <c r="V11" s="17"/>
      <c r="W11" s="17"/>
      <c r="X11" s="3"/>
      <c r="Y11" s="3"/>
      <c r="Z11" s="17"/>
      <c r="AA11" s="17"/>
      <c r="AB11" s="3"/>
      <c r="AC11" s="3"/>
      <c r="AD11" s="17"/>
      <c r="AE11" s="17"/>
      <c r="AF11" s="3"/>
      <c r="AG11" s="3"/>
      <c r="AH11" s="17"/>
      <c r="AI11" s="17"/>
      <c r="AJ11" s="3"/>
      <c r="AK11" s="3"/>
      <c r="AL11" s="17"/>
      <c r="AM11" s="17"/>
      <c r="AN11" s="3"/>
      <c r="AO11" s="3"/>
      <c r="AP11" s="17"/>
      <c r="AQ11" s="17"/>
      <c r="AR11" s="3"/>
    </row>
    <row r="12" spans="1:45" ht="30.75" customHeight="1" x14ac:dyDescent="0.25">
      <c r="A12" s="35"/>
      <c r="B12" s="6" t="s">
        <v>16</v>
      </c>
      <c r="C12" s="24"/>
      <c r="D12" s="10">
        <f>SUM(D5:D9,D11)</f>
        <v>45715777</v>
      </c>
      <c r="E12" s="19"/>
      <c r="F12" s="19"/>
      <c r="G12" s="10">
        <f>SUM(G5:G9,G11)</f>
        <v>39479580</v>
      </c>
      <c r="H12" s="19"/>
      <c r="I12" s="19"/>
      <c r="J12" s="10">
        <f>SUM(J5:J9,J11)</f>
        <v>45885672</v>
      </c>
      <c r="K12" s="19"/>
      <c r="L12" s="19"/>
      <c r="M12" s="10">
        <f>SUM(M5:M9,M11)</f>
        <v>39445983</v>
      </c>
      <c r="N12" s="10"/>
      <c r="O12" s="19"/>
      <c r="P12" s="19"/>
      <c r="Q12" s="10">
        <f>SUM(Q5:Q9,Q11)</f>
        <v>36145511</v>
      </c>
      <c r="R12" s="10"/>
      <c r="S12" s="19"/>
      <c r="T12" s="10">
        <f>SUM(T5:T9,T11)</f>
        <v>32849725</v>
      </c>
      <c r="U12" s="10"/>
      <c r="V12" s="19"/>
      <c r="W12" s="19"/>
      <c r="X12" s="10">
        <f>SUM(X5:X9,X11)</f>
        <v>35747490</v>
      </c>
      <c r="Y12" s="10"/>
      <c r="Z12" s="19"/>
      <c r="AA12" s="19"/>
      <c r="AB12" s="10">
        <f>SUM(AB5:AB9,AB11)</f>
        <v>37372824</v>
      </c>
      <c r="AC12" s="10"/>
      <c r="AD12" s="19"/>
      <c r="AE12" s="19"/>
      <c r="AF12" s="10">
        <f t="shared" ref="AF12:AR12" si="0">SUM(AF6:AF9,AF11)</f>
        <v>35712670</v>
      </c>
      <c r="AG12" s="10"/>
      <c r="AH12" s="19"/>
      <c r="AI12" s="19"/>
      <c r="AJ12" s="10">
        <f t="shared" si="0"/>
        <v>38841728</v>
      </c>
      <c r="AK12" s="10"/>
      <c r="AL12" s="19"/>
      <c r="AM12" s="19"/>
      <c r="AN12" s="10">
        <f t="shared" si="0"/>
        <v>41922328</v>
      </c>
      <c r="AO12" s="10"/>
      <c r="AP12" s="19"/>
      <c r="AQ12" s="19"/>
      <c r="AR12" s="10">
        <f t="shared" si="0"/>
        <v>45407289</v>
      </c>
    </row>
    <row r="13" spans="1:45" ht="22.5" customHeight="1" x14ac:dyDescent="0.25">
      <c r="A13" s="36" t="s">
        <v>16</v>
      </c>
      <c r="B13" s="37"/>
      <c r="C13" s="20"/>
      <c r="D13" s="10">
        <f>D12</f>
        <v>45715777</v>
      </c>
      <c r="E13" s="19"/>
      <c r="F13" s="19"/>
      <c r="G13" s="10">
        <f t="shared" ref="G13:AR13" si="1">G12</f>
        <v>39479580</v>
      </c>
      <c r="H13" s="19"/>
      <c r="I13" s="19"/>
      <c r="J13" s="10">
        <f t="shared" si="1"/>
        <v>45885672</v>
      </c>
      <c r="K13" s="19"/>
      <c r="L13" s="19"/>
      <c r="M13" s="10">
        <f t="shared" si="1"/>
        <v>39445983</v>
      </c>
      <c r="N13" s="10"/>
      <c r="O13" s="19"/>
      <c r="P13" s="19"/>
      <c r="Q13" s="10">
        <f t="shared" si="1"/>
        <v>36145511</v>
      </c>
      <c r="R13" s="10"/>
      <c r="S13" s="19"/>
      <c r="T13" s="10">
        <f t="shared" si="1"/>
        <v>32849725</v>
      </c>
      <c r="U13" s="10"/>
      <c r="V13" s="19"/>
      <c r="W13" s="19"/>
      <c r="X13" s="10">
        <f t="shared" si="1"/>
        <v>35747490</v>
      </c>
      <c r="Y13" s="10"/>
      <c r="Z13" s="19"/>
      <c r="AA13" s="19"/>
      <c r="AB13" s="10">
        <f t="shared" si="1"/>
        <v>37372824</v>
      </c>
      <c r="AC13" s="10"/>
      <c r="AD13" s="19"/>
      <c r="AE13" s="19"/>
      <c r="AF13" s="10">
        <f t="shared" si="1"/>
        <v>35712670</v>
      </c>
      <c r="AG13" s="10"/>
      <c r="AH13" s="19"/>
      <c r="AI13" s="19"/>
      <c r="AJ13" s="10">
        <f t="shared" si="1"/>
        <v>38841728</v>
      </c>
      <c r="AK13" s="10"/>
      <c r="AL13" s="19"/>
      <c r="AM13" s="19"/>
      <c r="AN13" s="10">
        <f t="shared" si="1"/>
        <v>41922328</v>
      </c>
      <c r="AO13" s="10"/>
      <c r="AP13" s="19"/>
      <c r="AQ13" s="19"/>
      <c r="AR13" s="10">
        <f t="shared" si="1"/>
        <v>45407289</v>
      </c>
    </row>
    <row r="21" spans="20:20" ht="22.5" customHeight="1" x14ac:dyDescent="0.25">
      <c r="T21" s="25"/>
    </row>
    <row r="22" spans="20:20" ht="22.5" customHeight="1" x14ac:dyDescent="0.25">
      <c r="T22" s="25"/>
    </row>
    <row r="23" spans="20:20" ht="22.5" customHeight="1" x14ac:dyDescent="0.25">
      <c r="T23" s="25"/>
    </row>
    <row r="24" spans="20:20" ht="22.5" customHeight="1" x14ac:dyDescent="0.25">
      <c r="T24" s="25"/>
    </row>
    <row r="25" spans="20:20" ht="22.5" customHeight="1" x14ac:dyDescent="0.25">
      <c r="T25" s="25"/>
    </row>
  </sheetData>
  <mergeCells count="5">
    <mergeCell ref="A2:AR2"/>
    <mergeCell ref="A4:A12"/>
    <mergeCell ref="B4:AR4"/>
    <mergeCell ref="B10:AR10"/>
    <mergeCell ref="A13:B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"/>
  <sheetViews>
    <sheetView topLeftCell="D2" zoomScale="80" zoomScaleNormal="80" workbookViewId="0">
      <selection activeCell="D2" sqref="A1:XFD1048576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14" width="20.5703125" style="1" customWidth="1"/>
    <col min="15" max="16384" width="9.140625" style="1"/>
  </cols>
  <sheetData>
    <row r="2" spans="1:18" ht="42.75" customHeight="1" x14ac:dyDescent="0.25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8" ht="22.5" customHeight="1" x14ac:dyDescent="0.25">
      <c r="A4" s="33" t="s">
        <v>33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8" ht="22.5" customHeight="1" x14ac:dyDescent="0.25">
      <c r="A5" s="34"/>
      <c r="B5" s="17" t="s">
        <v>32</v>
      </c>
      <c r="C5" s="17">
        <v>170153</v>
      </c>
      <c r="D5" s="17">
        <v>128254</v>
      </c>
      <c r="E5" s="17">
        <v>116823</v>
      </c>
      <c r="F5" s="17">
        <v>64923</v>
      </c>
      <c r="G5" s="17">
        <v>41032</v>
      </c>
      <c r="H5" s="17">
        <v>27186</v>
      </c>
      <c r="I5" s="17">
        <v>29407.999999999996</v>
      </c>
      <c r="J5" s="17">
        <v>31255.000000000004</v>
      </c>
      <c r="K5" s="17">
        <v>36113</v>
      </c>
      <c r="L5" s="17">
        <v>84782</v>
      </c>
      <c r="M5" s="17">
        <v>105462</v>
      </c>
      <c r="N5" s="17">
        <v>130574.00000000001</v>
      </c>
      <c r="P5" s="28"/>
      <c r="R5" s="28"/>
    </row>
    <row r="6" spans="1:18" ht="22.5" customHeight="1" x14ac:dyDescent="0.25">
      <c r="A6" s="34"/>
      <c r="B6" s="5" t="s">
        <v>14</v>
      </c>
      <c r="C6" s="3">
        <v>45460223</v>
      </c>
      <c r="D6" s="3">
        <v>39655132</v>
      </c>
      <c r="E6" s="3">
        <v>41403340</v>
      </c>
      <c r="F6" s="3">
        <v>35467597</v>
      </c>
      <c r="G6" s="3">
        <v>37584645</v>
      </c>
      <c r="H6" s="3">
        <v>35469130</v>
      </c>
      <c r="I6" s="3">
        <v>37523345</v>
      </c>
      <c r="J6" s="3">
        <v>37847182</v>
      </c>
      <c r="K6" s="3">
        <v>35175636</v>
      </c>
      <c r="L6" s="17">
        <v>40139247</v>
      </c>
      <c r="M6" s="17">
        <v>40840661</v>
      </c>
      <c r="N6" s="17">
        <v>46446805</v>
      </c>
      <c r="P6" s="28"/>
      <c r="R6" s="28"/>
    </row>
    <row r="7" spans="1:18" ht="22.5" customHeight="1" x14ac:dyDescent="0.25">
      <c r="A7" s="34"/>
      <c r="B7" s="5" t="s">
        <v>20</v>
      </c>
      <c r="C7" s="3">
        <v>41684</v>
      </c>
      <c r="D7" s="3">
        <v>39119</v>
      </c>
      <c r="E7" s="3">
        <v>34850</v>
      </c>
      <c r="F7" s="3">
        <v>23559</v>
      </c>
      <c r="G7" s="3">
        <v>20117</v>
      </c>
      <c r="H7" s="3">
        <v>21326</v>
      </c>
      <c r="I7" s="3">
        <v>18860</v>
      </c>
      <c r="J7" s="3">
        <v>18133</v>
      </c>
      <c r="K7" s="3">
        <v>16766</v>
      </c>
      <c r="L7" s="17">
        <v>25188</v>
      </c>
      <c r="M7" s="17">
        <v>27977</v>
      </c>
      <c r="N7" s="17">
        <v>22359</v>
      </c>
      <c r="O7" s="26"/>
      <c r="P7" s="28"/>
      <c r="R7" s="28"/>
    </row>
    <row r="8" spans="1:18" ht="22.5" customHeight="1" x14ac:dyDescent="0.25">
      <c r="A8" s="34"/>
      <c r="B8" s="5" t="s">
        <v>15</v>
      </c>
      <c r="C8" s="3">
        <v>1085058</v>
      </c>
      <c r="D8" s="3">
        <v>929130</v>
      </c>
      <c r="E8" s="3">
        <v>902886</v>
      </c>
      <c r="F8" s="3">
        <v>611687</v>
      </c>
      <c r="G8" s="3">
        <v>518583</v>
      </c>
      <c r="H8" s="3">
        <v>462902.99999999994</v>
      </c>
      <c r="I8" s="3">
        <v>461277</v>
      </c>
      <c r="J8" s="3">
        <v>560230</v>
      </c>
      <c r="K8" s="3">
        <v>524477</v>
      </c>
      <c r="L8" s="17">
        <v>871581</v>
      </c>
      <c r="M8" s="17">
        <v>915994</v>
      </c>
      <c r="N8" s="17">
        <v>1079023</v>
      </c>
      <c r="O8" s="26"/>
      <c r="P8" s="28"/>
      <c r="R8" s="28"/>
    </row>
    <row r="9" spans="1:18" ht="22.5" customHeight="1" x14ac:dyDescent="0.25">
      <c r="A9" s="34"/>
      <c r="B9" s="5" t="s">
        <v>21</v>
      </c>
      <c r="C9" s="3">
        <v>15371</v>
      </c>
      <c r="D9" s="3">
        <v>17670</v>
      </c>
      <c r="E9" s="3">
        <v>12515</v>
      </c>
      <c r="F9" s="3">
        <v>13004</v>
      </c>
      <c r="G9" s="3">
        <v>10964</v>
      </c>
      <c r="H9" s="3">
        <v>11198</v>
      </c>
      <c r="I9" s="3">
        <v>6975</v>
      </c>
      <c r="J9" s="3">
        <v>7117</v>
      </c>
      <c r="K9" s="3">
        <v>11669</v>
      </c>
      <c r="L9" s="17">
        <v>11096</v>
      </c>
      <c r="M9" s="17">
        <v>9591</v>
      </c>
      <c r="N9" s="17">
        <v>13474</v>
      </c>
      <c r="O9" s="26"/>
      <c r="P9" s="28"/>
      <c r="R9" s="28"/>
    </row>
    <row r="10" spans="1:18" ht="22.5" customHeight="1" x14ac:dyDescent="0.25">
      <c r="A10" s="34"/>
      <c r="B10" s="30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8" ht="22.5" customHeight="1" x14ac:dyDescent="0.25">
      <c r="A11" s="34"/>
      <c r="B11" s="4"/>
      <c r="C11" s="3">
        <v>0</v>
      </c>
      <c r="D11" s="3">
        <v>0</v>
      </c>
      <c r="E11" s="3">
        <v>0</v>
      </c>
      <c r="F11" s="3">
        <v>0</v>
      </c>
      <c r="G11" s="3"/>
      <c r="H11" s="3"/>
      <c r="I11" s="3"/>
      <c r="J11" s="3"/>
      <c r="K11" s="3"/>
      <c r="L11" s="3"/>
      <c r="M11" s="3"/>
      <c r="N11" s="3"/>
    </row>
    <row r="12" spans="1:18" ht="30.75" customHeight="1" x14ac:dyDescent="0.25">
      <c r="A12" s="35"/>
      <c r="B12" s="6" t="s">
        <v>16</v>
      </c>
      <c r="C12" s="10">
        <f>SUM(C5:C9,C11)</f>
        <v>46772489</v>
      </c>
      <c r="D12" s="10">
        <f t="shared" ref="D12:N12" si="0">SUM(D5:D9,D11)</f>
        <v>40769305</v>
      </c>
      <c r="E12" s="10">
        <f t="shared" si="0"/>
        <v>42470414</v>
      </c>
      <c r="F12" s="10">
        <f t="shared" si="0"/>
        <v>36180770</v>
      </c>
      <c r="G12" s="10">
        <f t="shared" si="0"/>
        <v>38175341</v>
      </c>
      <c r="H12" s="10">
        <f t="shared" si="0"/>
        <v>35991743</v>
      </c>
      <c r="I12" s="10">
        <f t="shared" si="0"/>
        <v>38039865</v>
      </c>
      <c r="J12" s="10">
        <f t="shared" si="0"/>
        <v>38463917</v>
      </c>
      <c r="K12" s="10">
        <f t="shared" si="0"/>
        <v>35764661</v>
      </c>
      <c r="L12" s="10">
        <f t="shared" si="0"/>
        <v>41131894</v>
      </c>
      <c r="M12" s="10">
        <f>SUM(M5:M9,M11)</f>
        <v>41899685</v>
      </c>
      <c r="N12" s="10">
        <f t="shared" si="0"/>
        <v>47692235</v>
      </c>
    </row>
    <row r="13" spans="1:18" ht="22.5" customHeight="1" x14ac:dyDescent="0.25">
      <c r="A13" s="36" t="s">
        <v>16</v>
      </c>
      <c r="B13" s="37"/>
      <c r="C13" s="10">
        <f>C12</f>
        <v>46772489</v>
      </c>
      <c r="D13" s="10">
        <f t="shared" ref="D13:N13" si="1">D12</f>
        <v>40769305</v>
      </c>
      <c r="E13" s="10">
        <f t="shared" si="1"/>
        <v>42470414</v>
      </c>
      <c r="F13" s="10">
        <f t="shared" si="1"/>
        <v>36180770</v>
      </c>
      <c r="G13" s="10">
        <f t="shared" si="1"/>
        <v>38175341</v>
      </c>
      <c r="H13" s="10">
        <f t="shared" si="1"/>
        <v>35991743</v>
      </c>
      <c r="I13" s="10">
        <f t="shared" si="1"/>
        <v>38039865</v>
      </c>
      <c r="J13" s="10">
        <f t="shared" si="1"/>
        <v>38463917</v>
      </c>
      <c r="K13" s="10">
        <f t="shared" si="1"/>
        <v>35764661</v>
      </c>
      <c r="L13" s="10">
        <f t="shared" si="1"/>
        <v>41131894</v>
      </c>
      <c r="M13" s="10">
        <f>M12</f>
        <v>41899685</v>
      </c>
      <c r="N13" s="10">
        <f t="shared" si="1"/>
        <v>47692235</v>
      </c>
    </row>
    <row r="21" spans="8:8" ht="22.5" customHeight="1" x14ac:dyDescent="0.25">
      <c r="H21" s="25"/>
    </row>
    <row r="22" spans="8:8" ht="22.5" customHeight="1" x14ac:dyDescent="0.25">
      <c r="H22" s="25"/>
    </row>
    <row r="23" spans="8:8" ht="22.5" customHeight="1" x14ac:dyDescent="0.25">
      <c r="H23" s="25"/>
    </row>
    <row r="24" spans="8:8" ht="22.5" customHeight="1" x14ac:dyDescent="0.25">
      <c r="H24" s="25"/>
    </row>
    <row r="25" spans="8:8" ht="22.5" customHeight="1" x14ac:dyDescent="0.25">
      <c r="H25" s="25"/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"/>
  <sheetViews>
    <sheetView tabSelected="1" zoomScale="70" zoomScaleNormal="70" workbookViewId="0">
      <selection activeCell="F5" sqref="F5:I9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14" width="20.5703125" style="1" customWidth="1"/>
    <col min="15" max="16384" width="9.140625" style="1"/>
  </cols>
  <sheetData>
    <row r="2" spans="1:18" ht="42.75" customHeight="1" x14ac:dyDescent="0.25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8" ht="22.5" customHeight="1" x14ac:dyDescent="0.25">
      <c r="A4" s="33" t="s">
        <v>33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8" ht="22.5" customHeight="1" x14ac:dyDescent="0.25">
      <c r="A5" s="34"/>
      <c r="B5" s="17" t="s">
        <v>32</v>
      </c>
      <c r="C5" s="17">
        <v>140662</v>
      </c>
      <c r="D5" s="17">
        <v>119154</v>
      </c>
      <c r="E5" s="17">
        <v>104827.99999999999</v>
      </c>
      <c r="F5" s="17"/>
      <c r="G5" s="17"/>
      <c r="H5" s="17"/>
      <c r="I5" s="17"/>
      <c r="J5" s="17"/>
      <c r="K5" s="17"/>
      <c r="L5" s="17"/>
      <c r="M5" s="17"/>
      <c r="N5" s="17"/>
      <c r="P5" s="28"/>
      <c r="R5" s="28"/>
    </row>
    <row r="6" spans="1:18" ht="22.5" customHeight="1" x14ac:dyDescent="0.25">
      <c r="A6" s="34"/>
      <c r="B6" s="5" t="s">
        <v>14</v>
      </c>
      <c r="C6" s="3">
        <v>46783428</v>
      </c>
      <c r="D6" s="3">
        <v>43177823</v>
      </c>
      <c r="E6" s="3">
        <v>43658513</v>
      </c>
      <c r="F6" s="3"/>
      <c r="G6" s="17"/>
      <c r="H6" s="17"/>
      <c r="I6" s="17"/>
      <c r="J6" s="3"/>
      <c r="K6" s="3"/>
      <c r="L6" s="17"/>
      <c r="M6" s="17"/>
      <c r="N6" s="17"/>
      <c r="P6" s="28"/>
      <c r="R6" s="28"/>
    </row>
    <row r="7" spans="1:18" ht="22.5" customHeight="1" x14ac:dyDescent="0.25">
      <c r="A7" s="34"/>
      <c r="B7" s="5" t="s">
        <v>20</v>
      </c>
      <c r="C7" s="3">
        <v>21027</v>
      </c>
      <c r="D7" s="3">
        <v>26344</v>
      </c>
      <c r="E7" s="3">
        <v>43657</v>
      </c>
      <c r="F7" s="3"/>
      <c r="G7" s="17"/>
      <c r="H7" s="17"/>
      <c r="I7" s="17"/>
      <c r="J7" s="3"/>
      <c r="K7" s="3"/>
      <c r="L7" s="17"/>
      <c r="M7" s="17"/>
      <c r="N7" s="17"/>
      <c r="O7" s="26"/>
      <c r="P7" s="28"/>
      <c r="R7" s="28"/>
    </row>
    <row r="8" spans="1:18" ht="22.5" customHeight="1" x14ac:dyDescent="0.25">
      <c r="A8" s="34"/>
      <c r="B8" s="5" t="s">
        <v>15</v>
      </c>
      <c r="C8" s="3">
        <v>1122301</v>
      </c>
      <c r="D8" s="3">
        <v>942408</v>
      </c>
      <c r="E8" s="3">
        <v>825925.99999999988</v>
      </c>
      <c r="F8" s="3"/>
      <c r="G8" s="17"/>
      <c r="H8" s="17"/>
      <c r="I8" s="17"/>
      <c r="J8" s="3"/>
      <c r="K8" s="3"/>
      <c r="L8" s="17"/>
      <c r="M8" s="17"/>
      <c r="N8" s="17"/>
      <c r="O8" s="26"/>
      <c r="P8" s="28"/>
      <c r="R8" s="28"/>
    </row>
    <row r="9" spans="1:18" ht="22.5" customHeight="1" x14ac:dyDescent="0.25">
      <c r="A9" s="34"/>
      <c r="B9" s="5" t="s">
        <v>21</v>
      </c>
      <c r="C9" s="3">
        <v>14586</v>
      </c>
      <c r="D9" s="3">
        <v>16680</v>
      </c>
      <c r="E9" s="3">
        <v>12587</v>
      </c>
      <c r="F9" s="3"/>
      <c r="G9" s="17"/>
      <c r="H9" s="17"/>
      <c r="I9" s="17"/>
      <c r="J9" s="3"/>
      <c r="K9" s="3"/>
      <c r="L9" s="17"/>
      <c r="M9" s="17"/>
      <c r="N9" s="17"/>
      <c r="O9" s="26"/>
      <c r="P9" s="28"/>
      <c r="R9" s="28"/>
    </row>
    <row r="10" spans="1:18" ht="22.5" customHeight="1" x14ac:dyDescent="0.25">
      <c r="A10" s="34"/>
      <c r="B10" s="30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8" ht="22.5" customHeight="1" x14ac:dyDescent="0.25">
      <c r="A11" s="3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8" ht="30.75" customHeight="1" x14ac:dyDescent="0.25">
      <c r="A12" s="35"/>
      <c r="B12" s="6" t="s">
        <v>16</v>
      </c>
      <c r="C12" s="10">
        <f>SUM(C5:C9,C11)</f>
        <v>48082004</v>
      </c>
      <c r="D12" s="10">
        <f t="shared" ref="D12:N12" si="0">SUM(D5:D9,D11)</f>
        <v>44282409</v>
      </c>
      <c r="E12" s="10">
        <f t="shared" si="0"/>
        <v>44645511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>SUM(M5:M9,M11)</f>
        <v>0</v>
      </c>
      <c r="N12" s="10">
        <f t="shared" si="0"/>
        <v>0</v>
      </c>
    </row>
    <row r="13" spans="1:18" ht="22.5" customHeight="1" x14ac:dyDescent="0.25">
      <c r="A13" s="36" t="s">
        <v>16</v>
      </c>
      <c r="B13" s="37"/>
      <c r="C13" s="10">
        <f>C12</f>
        <v>48082004</v>
      </c>
      <c r="D13" s="10">
        <f t="shared" ref="D13:N13" si="1">D12</f>
        <v>44282409</v>
      </c>
      <c r="E13" s="10">
        <f t="shared" si="1"/>
        <v>44645511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>M12</f>
        <v>0</v>
      </c>
      <c r="N13" s="10">
        <f t="shared" si="1"/>
        <v>0</v>
      </c>
    </row>
    <row r="21" spans="8:8" ht="22.5" customHeight="1" x14ac:dyDescent="0.25">
      <c r="H21" s="25"/>
    </row>
    <row r="22" spans="8:8" ht="22.5" customHeight="1" x14ac:dyDescent="0.25">
      <c r="H22" s="25"/>
    </row>
    <row r="23" spans="8:8" ht="22.5" customHeight="1" x14ac:dyDescent="0.25">
      <c r="H23" s="25"/>
    </row>
    <row r="24" spans="8:8" ht="22.5" customHeight="1" x14ac:dyDescent="0.25">
      <c r="H24" s="25"/>
    </row>
    <row r="25" spans="8:8" ht="22.5" customHeight="1" x14ac:dyDescent="0.25">
      <c r="H25" s="25"/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9" sqref="A9:XFD9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33" t="s">
        <v>19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34"/>
      <c r="B5" s="5" t="s">
        <v>14</v>
      </c>
      <c r="C5" s="3">
        <v>42712923</v>
      </c>
      <c r="D5" s="3">
        <v>37849681</v>
      </c>
      <c r="E5" s="3">
        <v>40578961</v>
      </c>
      <c r="F5" s="3">
        <v>36335313</v>
      </c>
      <c r="G5" s="3">
        <v>35754679</v>
      </c>
      <c r="H5" s="3">
        <v>34481291</v>
      </c>
      <c r="I5" s="3">
        <v>35036236</v>
      </c>
      <c r="J5" s="3">
        <v>36296128</v>
      </c>
      <c r="K5" s="3">
        <v>34507563</v>
      </c>
      <c r="L5" s="3">
        <v>38024761</v>
      </c>
      <c r="M5" s="3">
        <v>39575847</v>
      </c>
      <c r="N5" s="3">
        <v>44025423</v>
      </c>
    </row>
    <row r="6" spans="1:14" ht="22.5" customHeight="1" x14ac:dyDescent="0.25">
      <c r="A6" s="34"/>
      <c r="B6" s="5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4"/>
      <c r="B7" s="5" t="s">
        <v>15</v>
      </c>
      <c r="C7" s="3">
        <v>333350</v>
      </c>
      <c r="D7" s="3">
        <v>277596</v>
      </c>
      <c r="E7" s="3">
        <v>283748</v>
      </c>
      <c r="F7" s="3">
        <v>244226</v>
      </c>
      <c r="G7" s="3">
        <v>173386</v>
      </c>
      <c r="H7" s="3">
        <v>171361</v>
      </c>
      <c r="I7" s="3">
        <v>179256</v>
      </c>
      <c r="J7" s="3">
        <v>186067</v>
      </c>
      <c r="K7" s="3">
        <v>249039</v>
      </c>
      <c r="L7" s="3">
        <v>242436</v>
      </c>
      <c r="M7" s="3">
        <v>279208</v>
      </c>
      <c r="N7" s="3">
        <v>321209</v>
      </c>
    </row>
    <row r="8" spans="1:14" ht="22.5" customHeight="1" x14ac:dyDescent="0.25">
      <c r="A8" s="34"/>
      <c r="B8" s="5" t="s">
        <v>21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4"/>
      <c r="B9" s="30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22.5" customHeight="1" x14ac:dyDescent="0.25">
      <c r="A10" s="3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35"/>
      <c r="B11" s="6" t="s">
        <v>16</v>
      </c>
      <c r="C11" s="3">
        <f t="shared" ref="C11:N11" si="0">SUM(C5:C8,C10)</f>
        <v>43046273</v>
      </c>
      <c r="D11" s="3">
        <f t="shared" si="0"/>
        <v>38127277</v>
      </c>
      <c r="E11" s="3">
        <f t="shared" si="0"/>
        <v>40862709</v>
      </c>
      <c r="F11" s="3">
        <f t="shared" si="0"/>
        <v>36579539</v>
      </c>
      <c r="G11" s="3">
        <f t="shared" si="0"/>
        <v>35928065</v>
      </c>
      <c r="H11" s="3">
        <f t="shared" si="0"/>
        <v>34652652</v>
      </c>
      <c r="I11" s="3">
        <f t="shared" si="0"/>
        <v>35215492</v>
      </c>
      <c r="J11" s="3">
        <f t="shared" si="0"/>
        <v>36482195</v>
      </c>
      <c r="K11" s="3">
        <f t="shared" si="0"/>
        <v>34756602</v>
      </c>
      <c r="L11" s="3">
        <f t="shared" si="0"/>
        <v>38267197</v>
      </c>
      <c r="M11" s="3">
        <f t="shared" si="0"/>
        <v>39855055</v>
      </c>
      <c r="N11" s="3">
        <f t="shared" si="0"/>
        <v>44346632</v>
      </c>
    </row>
    <row r="12" spans="1:14" ht="22.5" customHeight="1" x14ac:dyDescent="0.25">
      <c r="A12" s="36" t="s">
        <v>16</v>
      </c>
      <c r="B12" s="37"/>
      <c r="C12" s="10">
        <f>C11</f>
        <v>43046273</v>
      </c>
      <c r="D12" s="10">
        <f t="shared" ref="D12:M12" si="1">D11</f>
        <v>38127277</v>
      </c>
      <c r="E12" s="10">
        <f t="shared" si="1"/>
        <v>40862709</v>
      </c>
      <c r="F12" s="10">
        <f t="shared" si="1"/>
        <v>36579539</v>
      </c>
      <c r="G12" s="10">
        <f t="shared" si="1"/>
        <v>35928065</v>
      </c>
      <c r="H12" s="10">
        <f t="shared" si="1"/>
        <v>34652652</v>
      </c>
      <c r="I12" s="10">
        <f t="shared" si="1"/>
        <v>35215492</v>
      </c>
      <c r="J12" s="10">
        <f t="shared" si="1"/>
        <v>36482195</v>
      </c>
      <c r="K12" s="10">
        <f t="shared" si="1"/>
        <v>34756602</v>
      </c>
      <c r="L12" s="10">
        <f t="shared" si="1"/>
        <v>38267197</v>
      </c>
      <c r="M12" s="10">
        <f t="shared" si="1"/>
        <v>39855055</v>
      </c>
      <c r="N12" s="10">
        <f>N11</f>
        <v>44346632</v>
      </c>
    </row>
  </sheetData>
  <mergeCells count="5">
    <mergeCell ref="A2:N2"/>
    <mergeCell ref="B4:N4"/>
    <mergeCell ref="A4:A11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sqref="A1:XFD1048576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33" t="s">
        <v>19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34"/>
      <c r="B5" s="5" t="s">
        <v>14</v>
      </c>
      <c r="C5" s="3">
        <v>40293241</v>
      </c>
      <c r="D5" s="3">
        <v>36101955</v>
      </c>
      <c r="E5" s="3">
        <v>37831138</v>
      </c>
      <c r="F5" s="3">
        <v>33361188.781512603</v>
      </c>
      <c r="G5" s="3">
        <v>30863958</v>
      </c>
      <c r="H5" s="3">
        <v>33185100.487394959</v>
      </c>
      <c r="I5" s="3">
        <v>33864484.722689077</v>
      </c>
      <c r="J5" s="3">
        <v>32832489</v>
      </c>
      <c r="K5" s="3">
        <v>31165022.092436973</v>
      </c>
      <c r="L5" s="3">
        <v>35559731</v>
      </c>
      <c r="M5" s="3">
        <v>36433528</v>
      </c>
      <c r="N5" s="3">
        <v>40046791.453781515</v>
      </c>
    </row>
    <row r="6" spans="1:14" ht="22.5" customHeight="1" x14ac:dyDescent="0.25">
      <c r="A6" s="34"/>
      <c r="B6" s="5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4"/>
      <c r="B7" s="5" t="s">
        <v>15</v>
      </c>
      <c r="C7" s="3">
        <v>249468</v>
      </c>
      <c r="D7" s="3">
        <v>247261</v>
      </c>
      <c r="E7" s="3">
        <v>192100</v>
      </c>
      <c r="F7" s="3">
        <v>200309</v>
      </c>
      <c r="G7" s="3">
        <v>181570</v>
      </c>
      <c r="H7" s="3">
        <v>167038</v>
      </c>
      <c r="I7" s="3">
        <v>165709</v>
      </c>
      <c r="J7" s="3">
        <v>211011</v>
      </c>
      <c r="K7" s="3">
        <v>207043</v>
      </c>
      <c r="L7" s="3">
        <v>240742</v>
      </c>
      <c r="M7" s="3">
        <v>286005</v>
      </c>
      <c r="N7" s="3">
        <v>291332</v>
      </c>
    </row>
    <row r="8" spans="1:14" ht="22.5" customHeight="1" x14ac:dyDescent="0.25">
      <c r="A8" s="34"/>
      <c r="B8" s="5" t="s">
        <v>21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4"/>
      <c r="B9" s="30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22.5" customHeight="1" x14ac:dyDescent="0.25">
      <c r="A10" s="3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35"/>
      <c r="B11" s="6" t="s">
        <v>16</v>
      </c>
      <c r="C11" s="3">
        <f t="shared" ref="C11:N11" si="0">SUM(C5:C8,C10)</f>
        <v>40542709</v>
      </c>
      <c r="D11" s="3">
        <f t="shared" si="0"/>
        <v>36349216</v>
      </c>
      <c r="E11" s="3">
        <f t="shared" si="0"/>
        <v>38023238</v>
      </c>
      <c r="F11" s="3">
        <f t="shared" si="0"/>
        <v>33561497.781512603</v>
      </c>
      <c r="G11" s="3">
        <f t="shared" si="0"/>
        <v>31045528</v>
      </c>
      <c r="H11" s="3">
        <f t="shared" si="0"/>
        <v>33352138.487394959</v>
      </c>
      <c r="I11" s="3">
        <f t="shared" si="0"/>
        <v>34030193.722689077</v>
      </c>
      <c r="J11" s="3">
        <f t="shared" si="0"/>
        <v>33043500</v>
      </c>
      <c r="K11" s="3">
        <f t="shared" si="0"/>
        <v>31372065.092436973</v>
      </c>
      <c r="L11" s="3">
        <f t="shared" si="0"/>
        <v>35800473</v>
      </c>
      <c r="M11" s="3">
        <f t="shared" si="0"/>
        <v>36719533</v>
      </c>
      <c r="N11" s="3">
        <f t="shared" si="0"/>
        <v>40338123.453781515</v>
      </c>
    </row>
    <row r="12" spans="1:14" ht="22.5" customHeight="1" x14ac:dyDescent="0.25">
      <c r="A12" s="36" t="s">
        <v>16</v>
      </c>
      <c r="B12" s="37"/>
      <c r="C12" s="10">
        <f>C11</f>
        <v>40542709</v>
      </c>
      <c r="D12" s="10">
        <f t="shared" ref="D12:N12" si="1">D11</f>
        <v>36349216</v>
      </c>
      <c r="E12" s="10">
        <f t="shared" si="1"/>
        <v>38023238</v>
      </c>
      <c r="F12" s="10">
        <f>F11</f>
        <v>33561497.781512603</v>
      </c>
      <c r="G12" s="10">
        <f t="shared" si="1"/>
        <v>31045528</v>
      </c>
      <c r="H12" s="10">
        <f t="shared" si="1"/>
        <v>33352138.487394959</v>
      </c>
      <c r="I12" s="10">
        <f t="shared" si="1"/>
        <v>34030193.722689077</v>
      </c>
      <c r="J12" s="10">
        <f t="shared" si="1"/>
        <v>33043500</v>
      </c>
      <c r="K12" s="10">
        <f t="shared" si="1"/>
        <v>31372065.092436973</v>
      </c>
      <c r="L12" s="10">
        <f t="shared" si="1"/>
        <v>35800473</v>
      </c>
      <c r="M12" s="10">
        <f t="shared" si="1"/>
        <v>36719533</v>
      </c>
      <c r="N12" s="10">
        <f t="shared" si="1"/>
        <v>40338123.453781515</v>
      </c>
    </row>
  </sheetData>
  <mergeCells count="5">
    <mergeCell ref="A2:N2"/>
    <mergeCell ref="B4:N4"/>
    <mergeCell ref="A4:A11"/>
    <mergeCell ref="B9:N9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4" sqref="A4:A11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hidden="1" customWidth="1"/>
    <col min="4" max="4" width="16.7109375" style="1" hidden="1" customWidth="1"/>
    <col min="5" max="5" width="16.42578125" style="1" hidden="1" customWidth="1"/>
    <col min="6" max="6" width="15.85546875" style="1" hidden="1" customWidth="1"/>
    <col min="7" max="7" width="17.85546875" style="1" hidden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33" t="s">
        <v>26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34"/>
      <c r="B5" s="5" t="s">
        <v>14</v>
      </c>
      <c r="C5" s="3">
        <v>41379448</v>
      </c>
      <c r="D5" s="3">
        <v>34021369</v>
      </c>
      <c r="E5" s="3">
        <v>34586073</v>
      </c>
      <c r="F5" s="3">
        <v>31474394.991596639</v>
      </c>
      <c r="G5" s="3">
        <v>30677721</v>
      </c>
      <c r="H5" s="3">
        <v>31825466</v>
      </c>
      <c r="I5" s="3">
        <v>34001009</v>
      </c>
      <c r="J5" s="3">
        <v>34167191</v>
      </c>
      <c r="K5" s="3">
        <v>32257692</v>
      </c>
      <c r="L5" s="3">
        <v>35075113</v>
      </c>
      <c r="M5" s="3">
        <v>38369956</v>
      </c>
      <c r="N5" s="3">
        <v>43036737</v>
      </c>
    </row>
    <row r="6" spans="1:14" ht="22.5" customHeight="1" x14ac:dyDescent="0.25">
      <c r="A6" s="34"/>
      <c r="B6" s="5" t="s">
        <v>20</v>
      </c>
      <c r="C6" s="3"/>
      <c r="D6" s="3"/>
      <c r="E6" s="3"/>
      <c r="F6" s="3"/>
      <c r="G6" s="3"/>
      <c r="H6" s="3"/>
      <c r="I6" s="3">
        <v>8095</v>
      </c>
      <c r="J6" s="3">
        <v>7173</v>
      </c>
      <c r="K6" s="3">
        <v>5249</v>
      </c>
      <c r="L6" s="3">
        <v>1140</v>
      </c>
      <c r="M6" s="3">
        <v>2223</v>
      </c>
      <c r="N6" s="3">
        <v>2842</v>
      </c>
    </row>
    <row r="7" spans="1:14" ht="22.5" customHeight="1" x14ac:dyDescent="0.25">
      <c r="A7" s="34"/>
      <c r="B7" s="5" t="s">
        <v>15</v>
      </c>
      <c r="C7" s="3">
        <v>258738</v>
      </c>
      <c r="D7" s="3">
        <v>303494</v>
      </c>
      <c r="E7" s="3">
        <v>316596</v>
      </c>
      <c r="F7" s="3">
        <v>258151</v>
      </c>
      <c r="G7" s="3">
        <v>206952</v>
      </c>
      <c r="H7" s="3">
        <v>188587</v>
      </c>
      <c r="I7" s="3">
        <v>184528</v>
      </c>
      <c r="J7" s="3">
        <v>218713</v>
      </c>
      <c r="K7" s="3">
        <v>238967</v>
      </c>
      <c r="L7" s="3">
        <v>329443</v>
      </c>
      <c r="M7" s="3">
        <v>375958</v>
      </c>
      <c r="N7" s="3">
        <v>358046</v>
      </c>
    </row>
    <row r="8" spans="1:14" ht="22.5" customHeight="1" x14ac:dyDescent="0.25">
      <c r="A8" s="34"/>
      <c r="B8" s="5" t="s">
        <v>21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4"/>
      <c r="B9" s="30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22.5" customHeight="1" x14ac:dyDescent="0.25">
      <c r="A10" s="3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35"/>
      <c r="B11" s="6" t="s">
        <v>16</v>
      </c>
      <c r="C11" s="3">
        <f t="shared" ref="C11:N11" si="0">SUM(C5:C8,C10)</f>
        <v>41638186</v>
      </c>
      <c r="D11" s="3">
        <f t="shared" si="0"/>
        <v>34324863</v>
      </c>
      <c r="E11" s="3">
        <f t="shared" si="0"/>
        <v>34902669</v>
      </c>
      <c r="F11" s="3">
        <f t="shared" si="0"/>
        <v>31732545.991596639</v>
      </c>
      <c r="G11" s="3">
        <f t="shared" si="0"/>
        <v>30884673</v>
      </c>
      <c r="H11" s="3">
        <f t="shared" si="0"/>
        <v>32014053</v>
      </c>
      <c r="I11" s="3">
        <f t="shared" si="0"/>
        <v>34193632</v>
      </c>
      <c r="J11" s="3">
        <f t="shared" si="0"/>
        <v>34393077</v>
      </c>
      <c r="K11" s="3">
        <f t="shared" si="0"/>
        <v>32501908</v>
      </c>
      <c r="L11" s="3">
        <f t="shared" si="0"/>
        <v>35405696</v>
      </c>
      <c r="M11" s="3">
        <f t="shared" si="0"/>
        <v>38748137</v>
      </c>
      <c r="N11" s="3">
        <f t="shared" si="0"/>
        <v>43397625</v>
      </c>
    </row>
    <row r="12" spans="1:14" ht="22.5" customHeight="1" x14ac:dyDescent="0.25">
      <c r="A12" s="36" t="s">
        <v>16</v>
      </c>
      <c r="B12" s="37"/>
      <c r="C12" s="10">
        <f>C11</f>
        <v>41638186</v>
      </c>
      <c r="D12" s="10">
        <f t="shared" ref="D12:N12" si="1">D11</f>
        <v>34324863</v>
      </c>
      <c r="E12" s="10">
        <f t="shared" si="1"/>
        <v>34902669</v>
      </c>
      <c r="F12" s="10">
        <f>F11</f>
        <v>31732545.991596639</v>
      </c>
      <c r="G12" s="10">
        <f t="shared" si="1"/>
        <v>30884673</v>
      </c>
      <c r="H12" s="10">
        <f t="shared" si="1"/>
        <v>32014053</v>
      </c>
      <c r="I12" s="10">
        <f t="shared" si="1"/>
        <v>34193632</v>
      </c>
      <c r="J12" s="10">
        <f t="shared" si="1"/>
        <v>34393077</v>
      </c>
      <c r="K12" s="10">
        <f t="shared" si="1"/>
        <v>32501908</v>
      </c>
      <c r="L12" s="10">
        <f t="shared" si="1"/>
        <v>35405696</v>
      </c>
      <c r="M12" s="10">
        <f t="shared" si="1"/>
        <v>38748137</v>
      </c>
      <c r="N12" s="10">
        <f t="shared" si="1"/>
        <v>43397625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D4" workbookViewId="0">
      <selection activeCell="N11" sqref="N11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33" t="s">
        <v>26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34"/>
      <c r="B5" s="5" t="s">
        <v>14</v>
      </c>
      <c r="C5" s="3">
        <f>42107302+465937</f>
        <v>42573239</v>
      </c>
      <c r="D5" s="3">
        <f>36732821+395244</f>
        <v>37128065</v>
      </c>
      <c r="E5" s="3">
        <f>38043004+368593</f>
        <v>38411597</v>
      </c>
      <c r="F5" s="3">
        <v>36133378</v>
      </c>
      <c r="G5" s="3">
        <v>33164556</v>
      </c>
      <c r="H5" s="3">
        <v>32693819</v>
      </c>
      <c r="I5" s="3">
        <f>34428412+19996+2694+124636+279</f>
        <v>34576017</v>
      </c>
      <c r="J5" s="3">
        <v>34695232</v>
      </c>
      <c r="K5" s="3">
        <v>32991773</v>
      </c>
      <c r="L5" s="3">
        <f>39167227+301606</f>
        <v>39468833</v>
      </c>
      <c r="M5" s="3">
        <f>150832+2654+223801+39900849</f>
        <v>40278136</v>
      </c>
      <c r="N5" s="3">
        <f>3098+166959+240597+43472287</f>
        <v>43882941</v>
      </c>
    </row>
    <row r="6" spans="1:14" ht="22.5" customHeight="1" x14ac:dyDescent="0.25">
      <c r="A6" s="34"/>
      <c r="B6" s="5" t="s">
        <v>20</v>
      </c>
      <c r="C6" s="3">
        <f>2986+56934</f>
        <v>59920</v>
      </c>
      <c r="D6" s="3">
        <f>2094+38847</f>
        <v>40941</v>
      </c>
      <c r="E6" s="3">
        <v>40383</v>
      </c>
      <c r="F6" s="3">
        <v>46230</v>
      </c>
      <c r="G6" s="3">
        <v>22497</v>
      </c>
      <c r="H6" s="3">
        <v>22634</v>
      </c>
      <c r="I6" s="3">
        <f>6698+12789</f>
        <v>19487</v>
      </c>
      <c r="J6" s="3">
        <v>22423</v>
      </c>
      <c r="K6" s="3">
        <v>17818</v>
      </c>
      <c r="L6" s="3">
        <f>728+38828</f>
        <v>39556</v>
      </c>
      <c r="M6" s="3">
        <f>37798+1258</f>
        <v>39056</v>
      </c>
      <c r="N6" s="3">
        <f>50135+1439</f>
        <v>51574</v>
      </c>
    </row>
    <row r="7" spans="1:14" ht="22.5" customHeight="1" x14ac:dyDescent="0.25">
      <c r="A7" s="34"/>
      <c r="B7" s="5" t="s">
        <v>15</v>
      </c>
      <c r="C7" s="3">
        <f>338238+845141</f>
        <v>1183379</v>
      </c>
      <c r="D7" s="3">
        <f>294159+673499</f>
        <v>967658</v>
      </c>
      <c r="E7" s="3">
        <f>273951+592937</f>
        <v>866888</v>
      </c>
      <c r="F7" s="3">
        <v>777631</v>
      </c>
      <c r="G7" s="3">
        <v>614724</v>
      </c>
      <c r="H7" s="3">
        <v>501085</v>
      </c>
      <c r="I7" s="3">
        <f>191133+32+10329+139+26589+208554+6482</f>
        <v>443258</v>
      </c>
      <c r="J7" s="3">
        <v>563532</v>
      </c>
      <c r="K7" s="3">
        <v>634928</v>
      </c>
      <c r="L7" s="3">
        <f>358381+102+594934</f>
        <v>953417</v>
      </c>
      <c r="M7" s="3">
        <f>25280+525+83949+557214+10654+380440</f>
        <v>1058062</v>
      </c>
      <c r="N7" s="3">
        <f>26697+566+90747+599690+10373+354869</f>
        <v>1082942</v>
      </c>
    </row>
    <row r="8" spans="1:14" ht="22.5" customHeight="1" x14ac:dyDescent="0.25">
      <c r="A8" s="34"/>
      <c r="B8" s="5" t="s">
        <v>21</v>
      </c>
      <c r="C8" s="3">
        <v>61553</v>
      </c>
      <c r="D8" s="3">
        <v>57608</v>
      </c>
      <c r="E8" s="3">
        <v>52920</v>
      </c>
      <c r="F8" s="3">
        <v>47611</v>
      </c>
      <c r="G8" s="3">
        <v>49872</v>
      </c>
      <c r="H8" s="3">
        <v>45118</v>
      </c>
      <c r="I8" s="3">
        <v>47047</v>
      </c>
      <c r="J8" s="3">
        <v>48936</v>
      </c>
      <c r="K8" s="3">
        <v>50635</v>
      </c>
      <c r="L8" s="3">
        <f>1370+53414</f>
        <v>54784</v>
      </c>
      <c r="M8" s="3">
        <f>24332+31540</f>
        <v>55872</v>
      </c>
      <c r="N8" s="3">
        <f>35638+26888</f>
        <v>62526</v>
      </c>
    </row>
    <row r="9" spans="1:14" ht="22.5" customHeight="1" x14ac:dyDescent="0.25">
      <c r="A9" s="34"/>
      <c r="B9" s="30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22.5" customHeight="1" x14ac:dyDescent="0.25">
      <c r="A10" s="34"/>
      <c r="B10" s="4"/>
      <c r="C10" s="3">
        <v>727</v>
      </c>
      <c r="D10" s="3">
        <v>243</v>
      </c>
      <c r="E10" s="3">
        <v>261</v>
      </c>
      <c r="F10" s="3">
        <v>200</v>
      </c>
      <c r="G10" s="3">
        <v>214</v>
      </c>
      <c r="H10" s="3">
        <v>197</v>
      </c>
      <c r="I10" s="3">
        <v>197</v>
      </c>
      <c r="J10" s="3">
        <v>181</v>
      </c>
      <c r="K10" s="3">
        <v>215</v>
      </c>
      <c r="L10" s="3">
        <v>0</v>
      </c>
      <c r="M10" s="3">
        <v>275</v>
      </c>
      <c r="N10" s="3">
        <v>196</v>
      </c>
    </row>
    <row r="11" spans="1:14" ht="30.75" customHeight="1" x14ac:dyDescent="0.25">
      <c r="A11" s="35"/>
      <c r="B11" s="6" t="s">
        <v>16</v>
      </c>
      <c r="C11" s="3">
        <f>SUM(C5:C8,C10)</f>
        <v>43878818</v>
      </c>
      <c r="D11" s="3">
        <f t="shared" ref="D11:N11" si="0">SUM(D5:D8,D10)</f>
        <v>38194515</v>
      </c>
      <c r="E11" s="3">
        <f t="shared" si="0"/>
        <v>39372049</v>
      </c>
      <c r="F11" s="3">
        <f t="shared" si="0"/>
        <v>37005050</v>
      </c>
      <c r="G11" s="3">
        <f t="shared" ref="G11" si="1">SUM(G5:G8,G10)</f>
        <v>33851863</v>
      </c>
      <c r="H11" s="3">
        <f t="shared" si="0"/>
        <v>33262853</v>
      </c>
      <c r="I11" s="3">
        <f>SUM(I5:I8,I10)</f>
        <v>35086006</v>
      </c>
      <c r="J11" s="3">
        <f>SUM(J5:J8,J10)</f>
        <v>35330304</v>
      </c>
      <c r="K11" s="3">
        <f t="shared" si="0"/>
        <v>33695369</v>
      </c>
      <c r="L11" s="3">
        <f t="shared" si="0"/>
        <v>40516590</v>
      </c>
      <c r="M11" s="3">
        <f t="shared" si="0"/>
        <v>41431401</v>
      </c>
      <c r="N11" s="3">
        <f t="shared" si="0"/>
        <v>45080179</v>
      </c>
    </row>
    <row r="12" spans="1:14" ht="22.5" customHeight="1" x14ac:dyDescent="0.25">
      <c r="A12" s="36" t="s">
        <v>16</v>
      </c>
      <c r="B12" s="37"/>
      <c r="C12" s="10">
        <f>C11</f>
        <v>43878818</v>
      </c>
      <c r="D12" s="10">
        <f t="shared" ref="D12:N12" si="2">D11</f>
        <v>38194515</v>
      </c>
      <c r="E12" s="10">
        <f t="shared" ref="E12:J12" si="3">E11</f>
        <v>39372049</v>
      </c>
      <c r="F12" s="10">
        <f t="shared" si="3"/>
        <v>37005050</v>
      </c>
      <c r="G12" s="10">
        <f t="shared" si="3"/>
        <v>33851863</v>
      </c>
      <c r="H12" s="10">
        <f t="shared" si="3"/>
        <v>33262853</v>
      </c>
      <c r="I12" s="10">
        <f t="shared" si="3"/>
        <v>35086006</v>
      </c>
      <c r="J12" s="10">
        <f t="shared" si="3"/>
        <v>35330304</v>
      </c>
      <c r="K12" s="10">
        <f t="shared" si="2"/>
        <v>33695369</v>
      </c>
      <c r="L12" s="10">
        <f t="shared" si="2"/>
        <v>40516590</v>
      </c>
      <c r="M12" s="10">
        <f t="shared" si="2"/>
        <v>41431401</v>
      </c>
      <c r="N12" s="10">
        <f t="shared" si="2"/>
        <v>45080179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A2" zoomScale="75" zoomScaleNormal="75" workbookViewId="0">
      <selection activeCell="K25" sqref="K25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33" t="s">
        <v>26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34"/>
      <c r="B5" s="5" t="s">
        <v>14</v>
      </c>
      <c r="C5" s="3">
        <v>45382965</v>
      </c>
      <c r="D5" s="3">
        <v>40409286</v>
      </c>
      <c r="E5" s="3">
        <v>44549856</v>
      </c>
      <c r="F5" s="3">
        <f>36909192+282861</f>
        <v>37192053</v>
      </c>
      <c r="G5" s="3">
        <f>35201826+148658</f>
        <v>35350484</v>
      </c>
      <c r="H5" s="3">
        <f>36523824+138553</f>
        <v>36662377</v>
      </c>
      <c r="I5" s="3">
        <f>38416887+140576</f>
        <v>38557463</v>
      </c>
      <c r="J5" s="3">
        <f>37218916+141145</f>
        <v>37360061</v>
      </c>
      <c r="K5" s="3">
        <f>34324088+160319</f>
        <v>34484407</v>
      </c>
      <c r="L5" s="3">
        <f>37651125+271725</f>
        <v>37922850</v>
      </c>
      <c r="M5" s="3">
        <f>40936057+366873</f>
        <v>41302930</v>
      </c>
      <c r="N5" s="3">
        <f>44208019+488993</f>
        <v>44697012</v>
      </c>
    </row>
    <row r="6" spans="1:14" ht="22.5" customHeight="1" x14ac:dyDescent="0.25">
      <c r="A6" s="34"/>
      <c r="B6" s="5" t="s">
        <v>20</v>
      </c>
      <c r="C6" s="3">
        <v>42621</v>
      </c>
      <c r="D6" s="3">
        <v>36705</v>
      </c>
      <c r="E6" s="3">
        <v>44440</v>
      </c>
      <c r="F6" s="3">
        <f>16268+27687</f>
        <v>43955</v>
      </c>
      <c r="G6" s="3">
        <f>10408+11861</f>
        <v>22269</v>
      </c>
      <c r="H6" s="3">
        <f>9569+2534</f>
        <v>12103</v>
      </c>
      <c r="I6" s="3">
        <f>9504+(-3683)</f>
        <v>5821</v>
      </c>
      <c r="J6" s="3">
        <f>7405+3352</f>
        <v>10757</v>
      </c>
      <c r="K6" s="3">
        <f>2757+13148</f>
        <v>15905</v>
      </c>
      <c r="L6" s="3">
        <f>599+21783</f>
        <v>22382</v>
      </c>
      <c r="M6" s="3">
        <f>1063+31517</f>
        <v>32580</v>
      </c>
      <c r="N6" s="3">
        <f>829+43326</f>
        <v>44155</v>
      </c>
    </row>
    <row r="7" spans="1:14" ht="22.5" customHeight="1" x14ac:dyDescent="0.25">
      <c r="A7" s="34"/>
      <c r="B7" s="5" t="s">
        <v>15</v>
      </c>
      <c r="C7" s="3">
        <v>1110053</v>
      </c>
      <c r="D7" s="3">
        <v>1005427</v>
      </c>
      <c r="E7" s="3">
        <v>1057053</v>
      </c>
      <c r="F7" s="3">
        <f>292515+430858</f>
        <v>723373</v>
      </c>
      <c r="G7" s="3">
        <f>186708+316605</f>
        <v>503313</v>
      </c>
      <c r="H7" s="3">
        <f>190433+306853</f>
        <v>497286</v>
      </c>
      <c r="I7" s="3">
        <f>214759+325293</f>
        <v>540052</v>
      </c>
      <c r="J7" s="3">
        <f>234425+72+307171</f>
        <v>541668</v>
      </c>
      <c r="K7" s="3">
        <f>224932+323933+85</f>
        <v>548950</v>
      </c>
      <c r="L7" s="3">
        <f>344690+484639+103</f>
        <v>829432</v>
      </c>
      <c r="M7" s="3">
        <f>353598+598915+109</f>
        <v>952622</v>
      </c>
      <c r="N7" s="3">
        <f>309412+716394+118</f>
        <v>1025924</v>
      </c>
    </row>
    <row r="8" spans="1:14" ht="22.5" customHeight="1" x14ac:dyDescent="0.25">
      <c r="A8" s="34"/>
      <c r="B8" s="5" t="s">
        <v>21</v>
      </c>
      <c r="C8" s="3">
        <v>63732</v>
      </c>
      <c r="D8" s="3">
        <v>61966</v>
      </c>
      <c r="E8" s="3">
        <v>59212</v>
      </c>
      <c r="F8" s="3">
        <v>46194</v>
      </c>
      <c r="G8" s="3">
        <v>48094</v>
      </c>
      <c r="H8" s="3">
        <v>47373</v>
      </c>
      <c r="I8" s="3">
        <v>53097</v>
      </c>
      <c r="J8" s="3">
        <f>363+54873</f>
        <v>55236</v>
      </c>
      <c r="K8" s="3">
        <f>56839+574</f>
        <v>57413</v>
      </c>
      <c r="L8" s="3">
        <f>59478+1466</f>
        <v>60944</v>
      </c>
      <c r="M8" s="3">
        <f>58784+1352</f>
        <v>60136</v>
      </c>
      <c r="N8" s="3">
        <f>65917+1728</f>
        <v>67645</v>
      </c>
    </row>
    <row r="9" spans="1:14" ht="22.5" customHeight="1" x14ac:dyDescent="0.25">
      <c r="A9" s="34"/>
      <c r="B9" s="30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22.5" customHeight="1" x14ac:dyDescent="0.25">
      <c r="A10" s="34"/>
      <c r="B10" s="4"/>
      <c r="C10" s="3">
        <v>516</v>
      </c>
      <c r="D10" s="3">
        <v>364</v>
      </c>
      <c r="E10" s="3">
        <v>302</v>
      </c>
      <c r="F10" s="3">
        <v>272</v>
      </c>
      <c r="G10" s="3">
        <v>211</v>
      </c>
      <c r="H10" s="3">
        <v>112</v>
      </c>
      <c r="I10" s="3">
        <v>183</v>
      </c>
      <c r="J10" s="3">
        <v>119</v>
      </c>
      <c r="K10" s="3">
        <v>127</v>
      </c>
      <c r="L10" s="3">
        <v>129</v>
      </c>
      <c r="M10" s="3">
        <v>131</v>
      </c>
      <c r="N10" s="3">
        <v>352</v>
      </c>
    </row>
    <row r="11" spans="1:14" ht="30.75" customHeight="1" x14ac:dyDescent="0.25">
      <c r="A11" s="35"/>
      <c r="B11" s="6" t="s">
        <v>16</v>
      </c>
      <c r="C11" s="3">
        <f>SUM(C5:C8,C10)</f>
        <v>46599887</v>
      </c>
      <c r="D11" s="3">
        <f t="shared" ref="D11:N11" si="0">SUM(D5:D8,D10)</f>
        <v>41513748</v>
      </c>
      <c r="E11" s="3">
        <f t="shared" si="0"/>
        <v>45710863</v>
      </c>
      <c r="F11" s="3">
        <f t="shared" si="0"/>
        <v>38005847</v>
      </c>
      <c r="G11" s="3">
        <f t="shared" si="0"/>
        <v>35924371</v>
      </c>
      <c r="H11" s="3">
        <f t="shared" si="0"/>
        <v>37219251</v>
      </c>
      <c r="I11" s="3">
        <f>SUM(I5:I8,I10)</f>
        <v>39156616</v>
      </c>
      <c r="J11" s="3">
        <f>SUM(J5:J8,J10)</f>
        <v>37967841</v>
      </c>
      <c r="K11" s="3">
        <f t="shared" si="0"/>
        <v>35106802</v>
      </c>
      <c r="L11" s="3">
        <f t="shared" si="0"/>
        <v>38835737</v>
      </c>
      <c r="M11" s="3">
        <f t="shared" si="0"/>
        <v>42348399</v>
      </c>
      <c r="N11" s="3">
        <f t="shared" si="0"/>
        <v>45835088</v>
      </c>
    </row>
    <row r="12" spans="1:14" ht="22.5" customHeight="1" x14ac:dyDescent="0.25">
      <c r="A12" s="36" t="s">
        <v>16</v>
      </c>
      <c r="B12" s="37"/>
      <c r="C12" s="10">
        <f>C11</f>
        <v>46599887</v>
      </c>
      <c r="D12" s="10">
        <f t="shared" ref="D12:N12" si="1">D11</f>
        <v>41513748</v>
      </c>
      <c r="E12" s="10">
        <f t="shared" si="1"/>
        <v>45710863</v>
      </c>
      <c r="F12" s="10">
        <f t="shared" si="1"/>
        <v>38005847</v>
      </c>
      <c r="G12" s="10">
        <f t="shared" si="1"/>
        <v>35924371</v>
      </c>
      <c r="H12" s="10">
        <f t="shared" si="1"/>
        <v>37219251</v>
      </c>
      <c r="I12" s="10">
        <f t="shared" si="1"/>
        <v>39156616</v>
      </c>
      <c r="J12" s="10">
        <f t="shared" si="1"/>
        <v>37967841</v>
      </c>
      <c r="K12" s="10">
        <f t="shared" si="1"/>
        <v>35106802</v>
      </c>
      <c r="L12" s="10">
        <f t="shared" si="1"/>
        <v>38835737</v>
      </c>
      <c r="M12" s="10">
        <f t="shared" si="1"/>
        <v>42348399</v>
      </c>
      <c r="N12" s="10">
        <f t="shared" si="1"/>
        <v>45835088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zoomScale="70" zoomScaleNormal="70" workbookViewId="0">
      <selection activeCell="K25" sqref="K25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14" width="20.5703125" style="1" customWidth="1"/>
    <col min="15" max="15" width="9.140625" style="15"/>
    <col min="16" max="16" width="9.140625" style="1"/>
    <col min="17" max="17" width="11.5703125" style="11" bestFit="1" customWidth="1"/>
    <col min="18" max="16384" width="9.140625" style="1"/>
  </cols>
  <sheetData>
    <row r="2" spans="1:17" ht="42.75" customHeight="1" x14ac:dyDescent="0.2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7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6"/>
      <c r="Q3" s="12"/>
    </row>
    <row r="4" spans="1:17" ht="22.5" customHeight="1" x14ac:dyDescent="0.25">
      <c r="A4" s="33" t="s">
        <v>26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7" ht="22.5" customHeight="1" x14ac:dyDescent="0.25">
      <c r="A5" s="34"/>
      <c r="B5" s="5" t="s">
        <v>14</v>
      </c>
      <c r="C5" s="3">
        <f>42964772+486090</f>
        <v>43450862</v>
      </c>
      <c r="D5" s="3">
        <f>36469782+403164</f>
        <v>36872946</v>
      </c>
      <c r="E5" s="3">
        <f>40510740+465579</f>
        <v>40976319</v>
      </c>
      <c r="F5" s="3">
        <f>35633164+261939</f>
        <v>35895103</v>
      </c>
      <c r="G5" s="3">
        <f>34057944+143992</f>
        <v>34201936</v>
      </c>
      <c r="H5" s="3">
        <f>37800929+138949</f>
        <v>37939878</v>
      </c>
      <c r="I5" s="3">
        <f>39287991+144624</f>
        <v>39432615</v>
      </c>
      <c r="J5" s="3">
        <f>37950430+154096</f>
        <v>38104526</v>
      </c>
      <c r="K5" s="3">
        <f>35584699+175307</f>
        <v>35760006</v>
      </c>
      <c r="L5" s="3">
        <f>37659348+292997</f>
        <v>37952345</v>
      </c>
      <c r="M5" s="3">
        <f>38527577+357686</f>
        <v>38885263</v>
      </c>
      <c r="N5" s="3">
        <f>43553065+398789</f>
        <v>43951854</v>
      </c>
      <c r="O5" s="15">
        <f>N5/M5</f>
        <v>1.1302959169904547</v>
      </c>
      <c r="Q5" s="14">
        <f>AVERAGE(C5:N5)</f>
        <v>38618637.75</v>
      </c>
    </row>
    <row r="6" spans="1:17" ht="22.5" customHeight="1" x14ac:dyDescent="0.25">
      <c r="A6" s="34"/>
      <c r="B6" s="5" t="s">
        <v>20</v>
      </c>
      <c r="C6" s="3">
        <f>687+40508</f>
        <v>41195</v>
      </c>
      <c r="D6" s="3">
        <f>1024+34816</f>
        <v>35840</v>
      </c>
      <c r="E6" s="3">
        <f>10307+31706</f>
        <v>42013</v>
      </c>
      <c r="F6" s="3">
        <f>10900+19290</f>
        <v>30190</v>
      </c>
      <c r="G6" s="3">
        <f>8938+10024</f>
        <v>18962</v>
      </c>
      <c r="H6" s="3">
        <f>8218+8430</f>
        <v>16648</v>
      </c>
      <c r="I6" s="3">
        <f>13922+11242</f>
        <v>25164</v>
      </c>
      <c r="J6" s="3">
        <f>9935+12491</f>
        <v>22426</v>
      </c>
      <c r="K6" s="3">
        <f>11947+15343</f>
        <v>27290</v>
      </c>
      <c r="L6" s="3">
        <f>4527+19641</f>
        <v>24168</v>
      </c>
      <c r="M6" s="3">
        <f>1782+24455</f>
        <v>26237</v>
      </c>
      <c r="N6" s="3">
        <f>1715+37683</f>
        <v>39398</v>
      </c>
      <c r="O6" s="15">
        <f t="shared" ref="O6:O8" si="0">N6/M6</f>
        <v>1.5016198498303921</v>
      </c>
      <c r="Q6" s="14">
        <f t="shared" ref="Q6:Q8" si="1">AVERAGE(C6:N6)</f>
        <v>29127.583333333332</v>
      </c>
    </row>
    <row r="7" spans="1:17" ht="22.5" customHeight="1" x14ac:dyDescent="0.25">
      <c r="A7" s="34"/>
      <c r="B7" s="5" t="s">
        <v>15</v>
      </c>
      <c r="C7" s="3">
        <f>321807+743694+114</f>
        <v>1065615</v>
      </c>
      <c r="D7" s="3">
        <f>277631+106+623140</f>
        <v>900877</v>
      </c>
      <c r="E7" s="3">
        <f>325539+623634+110</f>
        <v>949283</v>
      </c>
      <c r="F7" s="3">
        <f>273156+410948+108</f>
        <v>684212</v>
      </c>
      <c r="G7" s="3">
        <f>321989+300458+88</f>
        <v>622535</v>
      </c>
      <c r="H7" s="3">
        <f>204936+292011+73</f>
        <v>497020</v>
      </c>
      <c r="I7" s="3">
        <f>240431+288838+152</f>
        <v>529421</v>
      </c>
      <c r="J7" s="3">
        <f>253024+148+294048</f>
        <v>547220</v>
      </c>
      <c r="K7" s="3">
        <f>263537+351098+158</f>
        <v>614793</v>
      </c>
      <c r="L7" s="3">
        <f>299644+163+472129</f>
        <v>771936</v>
      </c>
      <c r="M7" s="3">
        <f>363548+561829+176</f>
        <v>925553</v>
      </c>
      <c r="N7" s="3">
        <f>348960+640763+182</f>
        <v>989905</v>
      </c>
      <c r="O7" s="15">
        <f t="shared" si="0"/>
        <v>1.0695281631629956</v>
      </c>
      <c r="Q7" s="14">
        <f t="shared" si="1"/>
        <v>758197.5</v>
      </c>
    </row>
    <row r="8" spans="1:17" ht="22.5" customHeight="1" x14ac:dyDescent="0.25">
      <c r="A8" s="34"/>
      <c r="B8" s="5" t="s">
        <v>21</v>
      </c>
      <c r="C8" s="3">
        <f>2021+62801</f>
        <v>64822</v>
      </c>
      <c r="D8" s="3">
        <f>1615+59355</f>
        <v>60970</v>
      </c>
      <c r="E8" s="3">
        <f>57602+1391</f>
        <v>58993</v>
      </c>
      <c r="F8" s="3">
        <f>52014+1223</f>
        <v>53237</v>
      </c>
      <c r="G8" s="3">
        <f>48603+624</f>
        <v>49227</v>
      </c>
      <c r="H8" s="3">
        <f>52394+349</f>
        <v>52743</v>
      </c>
      <c r="I8" s="3">
        <f>50305+535</f>
        <v>50840</v>
      </c>
      <c r="J8" s="3">
        <f>516+51243</f>
        <v>51759</v>
      </c>
      <c r="K8" s="3">
        <f>49581+846</f>
        <v>50427</v>
      </c>
      <c r="L8" s="3">
        <f>1260+59141</f>
        <v>60401</v>
      </c>
      <c r="M8" s="3">
        <f>51539+1570</f>
        <v>53109</v>
      </c>
      <c r="N8" s="3">
        <f>61252+1061</f>
        <v>62313</v>
      </c>
      <c r="O8" s="15">
        <f t="shared" si="0"/>
        <v>1.1733039597808281</v>
      </c>
      <c r="Q8" s="14">
        <f t="shared" si="1"/>
        <v>55736.75</v>
      </c>
    </row>
    <row r="9" spans="1:17" ht="22.5" customHeight="1" x14ac:dyDescent="0.25">
      <c r="A9" s="34"/>
      <c r="B9" s="30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Q9" s="13"/>
    </row>
    <row r="10" spans="1:17" ht="22.5" customHeight="1" x14ac:dyDescent="0.25">
      <c r="A10" s="34"/>
      <c r="B10" s="4"/>
      <c r="C10" s="3">
        <v>118</v>
      </c>
      <c r="D10" s="3">
        <v>147</v>
      </c>
      <c r="E10" s="3">
        <v>78</v>
      </c>
      <c r="F10" s="3">
        <v>82</v>
      </c>
      <c r="G10" s="3"/>
      <c r="H10" s="3"/>
      <c r="I10" s="3"/>
      <c r="J10" s="3"/>
      <c r="K10" s="3"/>
      <c r="L10" s="3"/>
      <c r="M10" s="3"/>
      <c r="N10" s="3"/>
      <c r="Q10" s="13"/>
    </row>
    <row r="11" spans="1:17" ht="30.75" customHeight="1" x14ac:dyDescent="0.25">
      <c r="A11" s="35"/>
      <c r="B11" s="6" t="s">
        <v>16</v>
      </c>
      <c r="C11" s="10">
        <f>SUM(C5:C8,C10)</f>
        <v>44622612</v>
      </c>
      <c r="D11" s="10">
        <f t="shared" ref="D11:N11" si="2">SUM(D5:D8,D10)</f>
        <v>37870780</v>
      </c>
      <c r="E11" s="10">
        <f>SUM(E5:E8,E10)</f>
        <v>42026686</v>
      </c>
      <c r="F11" s="10">
        <f t="shared" si="2"/>
        <v>36662824</v>
      </c>
      <c r="G11" s="10">
        <f t="shared" si="2"/>
        <v>34892660</v>
      </c>
      <c r="H11" s="10">
        <f t="shared" si="2"/>
        <v>38506289</v>
      </c>
      <c r="I11" s="10">
        <f>SUM(I5:I8,I10)</f>
        <v>40038040</v>
      </c>
      <c r="J11" s="10">
        <f>SUM(J5:J8,J10)</f>
        <v>38725931</v>
      </c>
      <c r="K11" s="10">
        <f t="shared" si="2"/>
        <v>36452516</v>
      </c>
      <c r="L11" s="10">
        <f t="shared" si="2"/>
        <v>38808850</v>
      </c>
      <c r="M11" s="10">
        <f t="shared" si="2"/>
        <v>39890162</v>
      </c>
      <c r="N11" s="10">
        <f t="shared" si="2"/>
        <v>45043470</v>
      </c>
    </row>
    <row r="12" spans="1:17" ht="22.5" customHeight="1" x14ac:dyDescent="0.25">
      <c r="A12" s="36" t="s">
        <v>16</v>
      </c>
      <c r="B12" s="37"/>
      <c r="C12" s="10">
        <f>C11</f>
        <v>44622612</v>
      </c>
      <c r="D12" s="10">
        <f t="shared" ref="D12:N12" si="3">D11</f>
        <v>37870780</v>
      </c>
      <c r="E12" s="10">
        <f t="shared" si="3"/>
        <v>42026686</v>
      </c>
      <c r="F12" s="10">
        <f t="shared" si="3"/>
        <v>36662824</v>
      </c>
      <c r="G12" s="10">
        <f t="shared" si="3"/>
        <v>34892660</v>
      </c>
      <c r="H12" s="10">
        <f t="shared" si="3"/>
        <v>38506289</v>
      </c>
      <c r="I12" s="10">
        <f t="shared" si="3"/>
        <v>40038040</v>
      </c>
      <c r="J12" s="10">
        <f t="shared" si="3"/>
        <v>38725931</v>
      </c>
      <c r="K12" s="10">
        <f t="shared" si="3"/>
        <v>36452516</v>
      </c>
      <c r="L12" s="10">
        <f t="shared" si="3"/>
        <v>38808850</v>
      </c>
      <c r="M12" s="10">
        <f t="shared" si="3"/>
        <v>39890162</v>
      </c>
      <c r="N12" s="10">
        <f t="shared" si="3"/>
        <v>45043470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zoomScale="75" zoomScaleNormal="75" workbookViewId="0">
      <selection activeCell="H22" sqref="H22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6" width="20.5703125" style="1" customWidth="1"/>
    <col min="7" max="7" width="20.5703125" style="1" hidden="1" customWidth="1"/>
    <col min="8" max="8" width="20.5703125" style="1" customWidth="1"/>
    <col min="9" max="9" width="20.5703125" style="1" hidden="1" customWidth="1"/>
    <col min="10" max="10" width="20.5703125" style="1" customWidth="1"/>
    <col min="11" max="11" width="20.5703125" style="1" hidden="1" customWidth="1"/>
    <col min="12" max="12" width="20.5703125" style="1" customWidth="1"/>
    <col min="13" max="13" width="20.5703125" style="1" hidden="1" customWidth="1"/>
    <col min="14" max="14" width="20.5703125" style="1" customWidth="1"/>
    <col min="15" max="15" width="20.5703125" style="1" hidden="1" customWidth="1"/>
    <col min="16" max="16" width="20.5703125" style="1" customWidth="1"/>
    <col min="17" max="17" width="20.5703125" style="1" hidden="1" customWidth="1"/>
    <col min="18" max="18" width="20.5703125" style="1" customWidth="1"/>
    <col min="19" max="19" width="20.5703125" style="1" hidden="1" customWidth="1"/>
    <col min="20" max="20" width="20.5703125" style="1" customWidth="1"/>
    <col min="21" max="21" width="20.5703125" style="1" hidden="1" customWidth="1"/>
    <col min="22" max="22" width="20.5703125" style="1" customWidth="1"/>
    <col min="23" max="23" width="12.7109375" style="15" bestFit="1" customWidth="1"/>
    <col min="24" max="16384" width="9.140625" style="1"/>
  </cols>
  <sheetData>
    <row r="2" spans="1:23" ht="42.75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3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  <c r="W3" s="16"/>
    </row>
    <row r="4" spans="1:23" ht="22.5" customHeight="1" x14ac:dyDescent="0.25">
      <c r="A4" s="33" t="s">
        <v>26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</row>
    <row r="5" spans="1:23" ht="22.5" customHeight="1" x14ac:dyDescent="0.25">
      <c r="A5" s="34"/>
      <c r="B5" s="5" t="s">
        <v>14</v>
      </c>
      <c r="C5" s="3">
        <f>39845341+400856</f>
        <v>40246197</v>
      </c>
      <c r="D5" s="3">
        <f>35690303+374707</f>
        <v>36065010</v>
      </c>
      <c r="E5" s="3">
        <f>36241393+339049</f>
        <v>36580442</v>
      </c>
      <c r="F5" s="3">
        <f>29629585+298898</f>
        <v>29928483</v>
      </c>
      <c r="G5" s="3">
        <v>0.95283013953184648</v>
      </c>
      <c r="H5" s="3">
        <f>27521148+172656</f>
        <v>27693804</v>
      </c>
      <c r="I5" s="3">
        <f>H5/F5</f>
        <v>0.92533270062501993</v>
      </c>
      <c r="J5" s="3">
        <f>25383214+130091</f>
        <v>25513305</v>
      </c>
      <c r="K5" s="3">
        <v>1.0393448023211882</v>
      </c>
      <c r="L5" s="3">
        <f>30461601+124337</f>
        <v>30585938</v>
      </c>
      <c r="M5" s="3">
        <v>0.96632003735993666</v>
      </c>
      <c r="N5" s="3">
        <f>33407811+132162</f>
        <v>33539973</v>
      </c>
      <c r="O5" s="3">
        <v>0.93847135114605551</v>
      </c>
      <c r="P5" s="3">
        <f>32616872+145532</f>
        <v>32762404</v>
      </c>
      <c r="Q5" s="3">
        <v>1.0613070087292491</v>
      </c>
      <c r="R5" s="3">
        <f>35078476+232493</f>
        <v>35310969</v>
      </c>
      <c r="S5" s="3">
        <v>1.0245813005757616</v>
      </c>
      <c r="T5" s="3">
        <f>35754510+342061</f>
        <v>36096571</v>
      </c>
      <c r="U5" s="3">
        <v>1.1302959169904547</v>
      </c>
      <c r="V5" s="3">
        <f>39999193+435939</f>
        <v>40435132</v>
      </c>
      <c r="W5" s="15">
        <f>'2021'!C6/'2020'!V5</f>
        <v>0.9698060834820571</v>
      </c>
    </row>
    <row r="6" spans="1:23" ht="22.5" customHeight="1" x14ac:dyDescent="0.25">
      <c r="A6" s="34"/>
      <c r="B6" s="5" t="s">
        <v>20</v>
      </c>
      <c r="C6" s="3">
        <f>2877+32202</f>
        <v>35079</v>
      </c>
      <c r="D6" s="3">
        <f>1961+27130</f>
        <v>29091</v>
      </c>
      <c r="E6" s="3">
        <f>4014+33295</f>
        <v>37309</v>
      </c>
      <c r="F6" s="3">
        <f>5440+22157</f>
        <v>27597</v>
      </c>
      <c r="G6" s="3">
        <v>0.62808877111626371</v>
      </c>
      <c r="H6" s="3">
        <f>9053+13490</f>
        <v>22543</v>
      </c>
      <c r="I6" s="3">
        <v>0.87796645923425798</v>
      </c>
      <c r="J6" s="3">
        <f>7871+9529</f>
        <v>17400</v>
      </c>
      <c r="K6" s="3">
        <v>1.511532916866891</v>
      </c>
      <c r="L6" s="3">
        <f>8545+11418</f>
        <v>19963</v>
      </c>
      <c r="M6" s="3">
        <v>0.8911937688761723</v>
      </c>
      <c r="N6" s="3">
        <f>8283+12725</f>
        <v>21008</v>
      </c>
      <c r="O6" s="3">
        <v>1.2168911085347365</v>
      </c>
      <c r="P6" s="3">
        <f>5560+15745</f>
        <v>21305</v>
      </c>
      <c r="Q6" s="3">
        <v>0.88559912055698053</v>
      </c>
      <c r="R6" s="3">
        <f>6531+34758</f>
        <v>41289</v>
      </c>
      <c r="S6" s="3">
        <v>1.0856090698444223</v>
      </c>
      <c r="T6" s="3">
        <f>2610+46790</f>
        <v>49400</v>
      </c>
      <c r="U6" s="3">
        <v>1.5016198498303921</v>
      </c>
      <c r="V6" s="3">
        <f>3257+60576</f>
        <v>63833</v>
      </c>
      <c r="W6" s="15">
        <f>'2021'!C7/'2020'!V6</f>
        <v>0.73570096971785759</v>
      </c>
    </row>
    <row r="7" spans="1:23" ht="22.5" customHeight="1" x14ac:dyDescent="0.25">
      <c r="A7" s="34"/>
      <c r="B7" s="5" t="s">
        <v>15</v>
      </c>
      <c r="C7" s="3">
        <f>365207+638082+178</f>
        <v>1003467</v>
      </c>
      <c r="D7" s="3">
        <f>302453+585496+115</f>
        <v>888064</v>
      </c>
      <c r="E7" s="3">
        <f>265058+151+543794</f>
        <v>809003</v>
      </c>
      <c r="F7" s="3">
        <f>241927+139+447152</f>
        <v>689218</v>
      </c>
      <c r="G7" s="3">
        <v>0.90985688646209073</v>
      </c>
      <c r="H7" s="3">
        <f>272241+326339+137</f>
        <v>598717</v>
      </c>
      <c r="I7" s="3">
        <v>0.79838081393014049</v>
      </c>
      <c r="J7" s="3">
        <f>246757+133+277569</f>
        <v>524459</v>
      </c>
      <c r="K7" s="3">
        <v>1.0651905355921292</v>
      </c>
      <c r="L7" s="3">
        <f>218491+279559</f>
        <v>498050</v>
      </c>
      <c r="M7" s="3">
        <v>1.033619746855527</v>
      </c>
      <c r="N7" s="3">
        <f>242622+360+317422</f>
        <v>560404</v>
      </c>
      <c r="O7" s="3">
        <v>1.1234841562808378</v>
      </c>
      <c r="P7" s="3">
        <f>179528+570+329756</f>
        <v>509854</v>
      </c>
      <c r="Q7" s="3">
        <v>1.2556031054354881</v>
      </c>
      <c r="R7" s="3">
        <f>334280+442899+808</f>
        <v>777987</v>
      </c>
      <c r="S7" s="3">
        <v>1.1990022488910999</v>
      </c>
      <c r="T7" s="3">
        <f>290320+518625+1192</f>
        <v>810137</v>
      </c>
      <c r="U7" s="3">
        <v>1.0695281631629956</v>
      </c>
      <c r="V7" s="3">
        <f>272544+714956+1529</f>
        <v>989029</v>
      </c>
      <c r="W7" s="15">
        <f>'2021'!C8/'2020'!V7</f>
        <v>0.9639383678335014</v>
      </c>
    </row>
    <row r="8" spans="1:23" ht="22.5" customHeight="1" x14ac:dyDescent="0.25">
      <c r="A8" s="34"/>
      <c r="B8" s="5" t="s">
        <v>21</v>
      </c>
      <c r="C8" s="3">
        <f>56325+1996</f>
        <v>58321</v>
      </c>
      <c r="D8" s="3">
        <f>56918+1814</f>
        <v>58732</v>
      </c>
      <c r="E8" s="3">
        <f>1162+54214</f>
        <v>55376</v>
      </c>
      <c r="F8" s="3">
        <f>1265+51562</f>
        <v>52827</v>
      </c>
      <c r="G8" s="3">
        <v>0.92467644683209049</v>
      </c>
      <c r="H8" s="3">
        <f>47575+789</f>
        <v>48364</v>
      </c>
      <c r="I8" s="3">
        <v>1.0714242184167226</v>
      </c>
      <c r="J8" s="3">
        <f>306+43763</f>
        <v>44069</v>
      </c>
      <c r="K8" s="3">
        <v>0.96391938266689414</v>
      </c>
      <c r="L8" s="3">
        <v>45229</v>
      </c>
      <c r="M8" s="3">
        <v>1.0180763178599528</v>
      </c>
      <c r="N8" s="3">
        <f>111+11322</f>
        <v>11433</v>
      </c>
      <c r="O8" s="3">
        <v>0.97426534515736396</v>
      </c>
      <c r="P8" s="3">
        <f>48+14295</f>
        <v>14343</v>
      </c>
      <c r="Q8" s="3">
        <v>1.1977908660043231</v>
      </c>
      <c r="R8" s="3">
        <f>12098+19</f>
        <v>12117</v>
      </c>
      <c r="S8" s="3">
        <v>0.87927352196155695</v>
      </c>
      <c r="T8" s="3">
        <f>14447+53</f>
        <v>14500</v>
      </c>
      <c r="U8" s="3">
        <v>1.1733039597808281</v>
      </c>
      <c r="V8" s="3">
        <f>15121+60</f>
        <v>15181</v>
      </c>
      <c r="W8" s="15">
        <f>'2021'!C9/'2020'!V8</f>
        <v>1.6678084447664845</v>
      </c>
    </row>
    <row r="9" spans="1:23" ht="22.5" customHeight="1" x14ac:dyDescent="0.25">
      <c r="A9" s="34"/>
      <c r="B9" s="30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</row>
    <row r="10" spans="1:23" ht="22.5" customHeight="1" x14ac:dyDescent="0.25">
      <c r="A10" s="3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ht="30.75" customHeight="1" x14ac:dyDescent="0.25">
      <c r="A11" s="35"/>
      <c r="B11" s="6" t="s">
        <v>16</v>
      </c>
      <c r="C11" s="10">
        <f>SUM(C5:C8,C10)</f>
        <v>41343064</v>
      </c>
      <c r="D11" s="10">
        <f t="shared" ref="D11:V11" si="0">SUM(D5:D8,D10)</f>
        <v>37040897</v>
      </c>
      <c r="E11" s="10">
        <f>SUM(E5:E8,E10)</f>
        <v>37482130</v>
      </c>
      <c r="F11" s="10">
        <f t="shared" si="0"/>
        <v>30698125</v>
      </c>
      <c r="G11" s="10"/>
      <c r="H11" s="10">
        <f t="shared" si="0"/>
        <v>28363428</v>
      </c>
      <c r="I11" s="10"/>
      <c r="J11" s="10">
        <f t="shared" si="0"/>
        <v>26099233</v>
      </c>
      <c r="K11" s="10"/>
      <c r="L11" s="10">
        <f>SUM(L5:L8,L10)</f>
        <v>31149180</v>
      </c>
      <c r="M11" s="10"/>
      <c r="N11" s="10">
        <f>SUM(N5:N8,N10)</f>
        <v>34132818</v>
      </c>
      <c r="O11" s="10"/>
      <c r="P11" s="10">
        <f t="shared" si="0"/>
        <v>33307906</v>
      </c>
      <c r="Q11" s="10"/>
      <c r="R11" s="10">
        <f t="shared" si="0"/>
        <v>36142362</v>
      </c>
      <c r="S11" s="10"/>
      <c r="T11" s="10">
        <f t="shared" si="0"/>
        <v>36970608</v>
      </c>
      <c r="U11" s="10"/>
      <c r="V11" s="10">
        <f t="shared" si="0"/>
        <v>41503175</v>
      </c>
    </row>
    <row r="12" spans="1:23" ht="22.5" customHeight="1" x14ac:dyDescent="0.25">
      <c r="A12" s="36" t="s">
        <v>16</v>
      </c>
      <c r="B12" s="37"/>
      <c r="C12" s="10">
        <f>C11</f>
        <v>41343064</v>
      </c>
      <c r="D12" s="10">
        <f t="shared" ref="D12:V12" si="1">D11</f>
        <v>37040897</v>
      </c>
      <c r="E12" s="10">
        <f t="shared" si="1"/>
        <v>37482130</v>
      </c>
      <c r="F12" s="10">
        <f t="shared" si="1"/>
        <v>30698125</v>
      </c>
      <c r="G12" s="10"/>
      <c r="H12" s="10">
        <f t="shared" si="1"/>
        <v>28363428</v>
      </c>
      <c r="I12" s="10"/>
      <c r="J12" s="10">
        <f t="shared" si="1"/>
        <v>26099233</v>
      </c>
      <c r="K12" s="10"/>
      <c r="L12" s="10">
        <f t="shared" si="1"/>
        <v>31149180</v>
      </c>
      <c r="M12" s="10"/>
      <c r="N12" s="10">
        <f t="shared" si="1"/>
        <v>34132818</v>
      </c>
      <c r="O12" s="10"/>
      <c r="P12" s="10">
        <f t="shared" si="1"/>
        <v>33307906</v>
      </c>
      <c r="Q12" s="10"/>
      <c r="R12" s="10">
        <f t="shared" si="1"/>
        <v>36142362</v>
      </c>
      <c r="S12" s="10"/>
      <c r="T12" s="10">
        <f t="shared" si="1"/>
        <v>36970608</v>
      </c>
      <c r="U12" s="10"/>
      <c r="V12" s="10">
        <f t="shared" si="1"/>
        <v>41503175</v>
      </c>
    </row>
  </sheetData>
  <mergeCells count="5">
    <mergeCell ref="A2:V2"/>
    <mergeCell ref="A4:A11"/>
    <mergeCell ref="B4:V4"/>
    <mergeCell ref="B9:V9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2"/>
  <sheetViews>
    <sheetView zoomScale="70" zoomScaleNormal="70" workbookViewId="0">
      <selection activeCell="AH5" sqref="AH5:AH9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20.5703125" style="1" customWidth="1"/>
    <col min="4" max="4" width="20.5703125" style="1" hidden="1" customWidth="1"/>
    <col min="5" max="5" width="20.5703125" style="1" customWidth="1"/>
    <col min="6" max="6" width="20.5703125" style="1" hidden="1" customWidth="1"/>
    <col min="7" max="7" width="20.5703125" style="1" customWidth="1"/>
    <col min="8" max="8" width="20.5703125" style="1" hidden="1" customWidth="1"/>
    <col min="9" max="9" width="20.5703125" style="1" customWidth="1"/>
    <col min="10" max="11" width="20.5703125" style="1" hidden="1" customWidth="1"/>
    <col min="12" max="12" width="20.5703125" style="1" customWidth="1"/>
    <col min="13" max="14" width="20.5703125" style="1" hidden="1" customWidth="1"/>
    <col min="15" max="15" width="20.5703125" style="1" customWidth="1"/>
    <col min="16" max="17" width="20.5703125" style="1" hidden="1" customWidth="1"/>
    <col min="18" max="18" width="20.5703125" style="1" customWidth="1"/>
    <col min="19" max="20" width="20.5703125" style="1" hidden="1" customWidth="1"/>
    <col min="21" max="21" width="20.5703125" style="1" customWidth="1"/>
    <col min="22" max="23" width="20.5703125" style="1" hidden="1" customWidth="1"/>
    <col min="24" max="24" width="20.5703125" style="1" customWidth="1"/>
    <col min="25" max="26" width="20.5703125" style="1" hidden="1" customWidth="1"/>
    <col min="27" max="27" width="20.5703125" style="1" customWidth="1"/>
    <col min="28" max="29" width="20.5703125" style="1" hidden="1" customWidth="1"/>
    <col min="30" max="30" width="20.5703125" style="1" customWidth="1"/>
    <col min="31" max="32" width="20.5703125" style="1" hidden="1" customWidth="1"/>
    <col min="33" max="33" width="20.5703125" style="1" customWidth="1"/>
    <col min="34" max="34" width="9.140625" style="15"/>
    <col min="35" max="16384" width="9.140625" style="1"/>
  </cols>
  <sheetData>
    <row r="2" spans="1:34" ht="42.75" customHeight="1" x14ac:dyDescent="0.2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4" s="2" customFormat="1" ht="33" customHeight="1" x14ac:dyDescent="0.25">
      <c r="A3" s="7" t="s">
        <v>0</v>
      </c>
      <c r="B3" s="8" t="s">
        <v>1</v>
      </c>
      <c r="C3" s="9" t="s">
        <v>2</v>
      </c>
      <c r="D3" s="18"/>
      <c r="E3" s="9" t="s">
        <v>3</v>
      </c>
      <c r="F3" s="18"/>
      <c r="G3" s="9" t="s">
        <v>4</v>
      </c>
      <c r="H3" s="18"/>
      <c r="I3" s="9" t="s">
        <v>5</v>
      </c>
      <c r="J3" s="9"/>
      <c r="K3" s="18"/>
      <c r="L3" s="9" t="s">
        <v>6</v>
      </c>
      <c r="M3" s="9"/>
      <c r="N3" s="18"/>
      <c r="O3" s="9" t="s">
        <v>7</v>
      </c>
      <c r="P3" s="9"/>
      <c r="Q3" s="18"/>
      <c r="R3" s="9" t="s">
        <v>8</v>
      </c>
      <c r="S3" s="9"/>
      <c r="T3" s="18"/>
      <c r="U3" s="9" t="s">
        <v>9</v>
      </c>
      <c r="V3" s="9"/>
      <c r="W3" s="18"/>
      <c r="X3" s="9" t="s">
        <v>10</v>
      </c>
      <c r="Y3" s="9"/>
      <c r="Z3" s="18"/>
      <c r="AA3" s="9" t="s">
        <v>11</v>
      </c>
      <c r="AB3" s="9"/>
      <c r="AC3" s="18"/>
      <c r="AD3" s="9" t="s">
        <v>12</v>
      </c>
      <c r="AE3" s="9"/>
      <c r="AF3" s="18"/>
      <c r="AG3" s="9" t="s">
        <v>13</v>
      </c>
      <c r="AH3" s="16"/>
    </row>
    <row r="4" spans="1:34" ht="22.5" customHeight="1" x14ac:dyDescent="0.25">
      <c r="A4" s="33" t="s">
        <v>33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2"/>
    </row>
    <row r="5" spans="1:34" ht="22.5" customHeight="1" x14ac:dyDescent="0.25">
      <c r="A5" s="34"/>
      <c r="B5" s="17" t="s">
        <v>32</v>
      </c>
      <c r="C5" s="17">
        <v>298591</v>
      </c>
      <c r="D5" s="17"/>
      <c r="E5" s="17">
        <v>210873</v>
      </c>
      <c r="F5" s="17">
        <f>E5/C5</f>
        <v>0.70622691239856528</v>
      </c>
      <c r="G5" s="17">
        <v>174605</v>
      </c>
      <c r="H5" s="17">
        <f>G5/E5</f>
        <v>0.82801022416335901</v>
      </c>
      <c r="I5" s="17">
        <v>119743</v>
      </c>
      <c r="J5" s="17"/>
      <c r="K5" s="17">
        <f>I5/G5</f>
        <v>0.68579364852094726</v>
      </c>
      <c r="L5" s="17">
        <v>80132</v>
      </c>
      <c r="M5" s="17"/>
      <c r="N5" s="17"/>
      <c r="O5" s="17">
        <v>53385</v>
      </c>
      <c r="P5" s="17"/>
      <c r="Q5" s="17">
        <f>O5/L5</f>
        <v>0.66621324814056804</v>
      </c>
      <c r="R5" s="17">
        <v>61095</v>
      </c>
      <c r="S5" s="17"/>
      <c r="T5" s="17">
        <f>R5/O5</f>
        <v>1.1444225906153414</v>
      </c>
      <c r="U5" s="17">
        <v>51856</v>
      </c>
      <c r="V5" s="17"/>
      <c r="W5" s="17">
        <f>U5/R5</f>
        <v>0.84877649562157298</v>
      </c>
      <c r="X5" s="17">
        <v>84480</v>
      </c>
      <c r="Y5" s="17"/>
      <c r="Z5" s="17">
        <f>X5/U5</f>
        <v>1.6291268127121259</v>
      </c>
      <c r="AA5" s="17">
        <v>112244</v>
      </c>
      <c r="AB5" s="17"/>
      <c r="AC5" s="17">
        <f>AA5/X5</f>
        <v>1.3286458333333333</v>
      </c>
      <c r="AD5" s="17">
        <v>126731</v>
      </c>
      <c r="AE5" s="17"/>
      <c r="AF5" s="17">
        <f>AD5/AA5</f>
        <v>1.1290670325362604</v>
      </c>
      <c r="AG5" s="17">
        <v>174629</v>
      </c>
      <c r="AH5" s="15">
        <f>'2022'!D5/'2021'!AG5</f>
        <v>0.95248211923563686</v>
      </c>
    </row>
    <row r="6" spans="1:34" ht="22.5" customHeight="1" x14ac:dyDescent="0.25">
      <c r="A6" s="34"/>
      <c r="B6" s="5" t="s">
        <v>14</v>
      </c>
      <c r="C6" s="3">
        <f>39029335+184902</f>
        <v>39214237</v>
      </c>
      <c r="D6" s="17">
        <v>0.89610976162542766</v>
      </c>
      <c r="E6" s="3">
        <f>37785372+248101</f>
        <v>38033473</v>
      </c>
      <c r="F6" s="17">
        <v>1.0142917470423549</v>
      </c>
      <c r="G6" s="3">
        <f>39318618+240638</f>
        <v>39559256</v>
      </c>
      <c r="H6" s="17">
        <v>0.81815531370561356</v>
      </c>
      <c r="I6" s="3">
        <f>34067620+151185</f>
        <v>34218805</v>
      </c>
      <c r="J6" s="3"/>
      <c r="K6" s="17">
        <v>0.92533270062501993</v>
      </c>
      <c r="L6" s="3">
        <f>32890326+81303</f>
        <v>32971629</v>
      </c>
      <c r="M6" s="3"/>
      <c r="N6" s="17">
        <v>0.92126401270118041</v>
      </c>
      <c r="O6" s="3">
        <f>33622123+72177</f>
        <v>33694300</v>
      </c>
      <c r="P6" s="3"/>
      <c r="Q6" s="17">
        <v>1.1988230454658853</v>
      </c>
      <c r="R6" s="3">
        <f>35918341+64130</f>
        <v>35982471</v>
      </c>
      <c r="S6" s="3"/>
      <c r="T6" s="17">
        <v>1.0965814747940703</v>
      </c>
      <c r="U6" s="3">
        <f>36196644+71084</f>
        <v>36267728</v>
      </c>
      <c r="V6" s="3"/>
      <c r="W6" s="17">
        <v>0.97681664800386092</v>
      </c>
      <c r="X6" s="3">
        <f>35383517+110614</f>
        <v>35494131</v>
      </c>
      <c r="Y6" s="3"/>
      <c r="Z6" s="17">
        <v>1.0777893160709453</v>
      </c>
      <c r="AA6" s="3">
        <f>38678226+173767</f>
        <v>38851993</v>
      </c>
      <c r="AB6" s="3"/>
      <c r="AC6" s="17">
        <v>1.0222481008663342</v>
      </c>
      <c r="AD6" s="3">
        <f>39540630+209247</f>
        <v>39749877</v>
      </c>
      <c r="AE6" s="3"/>
      <c r="AF6" s="17">
        <v>1.1201931618380039</v>
      </c>
      <c r="AG6" s="3">
        <f>43754050+262459</f>
        <v>44016509</v>
      </c>
      <c r="AH6" s="15">
        <f>'2022'!D6/'2021'!AG6</f>
        <v>1.0124465799866136</v>
      </c>
    </row>
    <row r="7" spans="1:34" ht="22.5" customHeight="1" x14ac:dyDescent="0.25">
      <c r="A7" s="34"/>
      <c r="B7" s="5" t="s">
        <v>20</v>
      </c>
      <c r="C7" s="3">
        <f>2778+44184</f>
        <v>46962</v>
      </c>
      <c r="D7" s="17">
        <v>0.82929958094586509</v>
      </c>
      <c r="E7" s="3">
        <f>3546+38162</f>
        <v>41708</v>
      </c>
      <c r="F7" s="17">
        <v>1.2824928672097899</v>
      </c>
      <c r="G7" s="3">
        <f>3821+32993</f>
        <v>36814</v>
      </c>
      <c r="H7" s="17">
        <v>0.73968747487201481</v>
      </c>
      <c r="I7" s="3">
        <f>7718+24386</f>
        <v>32104</v>
      </c>
      <c r="J7" s="3"/>
      <c r="K7" s="17">
        <v>0.81686415190056894</v>
      </c>
      <c r="L7" s="3">
        <f>9110+17882</f>
        <v>26992</v>
      </c>
      <c r="M7" s="3"/>
      <c r="N7" s="17">
        <v>0.77185822650046576</v>
      </c>
      <c r="O7" s="3">
        <f>12831+3463</f>
        <v>16294</v>
      </c>
      <c r="P7" s="3"/>
      <c r="Q7" s="17">
        <v>1.1472988505747126</v>
      </c>
      <c r="R7" s="3">
        <f>9890+10747</f>
        <v>20637</v>
      </c>
      <c r="S7" s="3"/>
      <c r="T7" s="17">
        <v>1.0523468416570656</v>
      </c>
      <c r="U7" s="3">
        <f>8637+7492</f>
        <v>16129</v>
      </c>
      <c r="V7" s="3"/>
      <c r="W7" s="17">
        <v>1.0141374714394515</v>
      </c>
      <c r="X7" s="3">
        <f>8086+18995</f>
        <v>27081</v>
      </c>
      <c r="Y7" s="3"/>
      <c r="Z7" s="17">
        <v>1.9379957756395212</v>
      </c>
      <c r="AA7" s="3">
        <f>4602+26001</f>
        <v>30603</v>
      </c>
      <c r="AB7" s="3"/>
      <c r="AC7" s="17">
        <v>1.1964445736152487</v>
      </c>
      <c r="AD7" s="3">
        <f>1315+27189</f>
        <v>28504</v>
      </c>
      <c r="AE7" s="3"/>
      <c r="AF7" s="17">
        <v>1.2921659919028341</v>
      </c>
      <c r="AG7" s="3">
        <f>3448+31907</f>
        <v>35355</v>
      </c>
      <c r="AH7" s="15">
        <f>'2022'!D7/'2021'!AG7</f>
        <v>1.3447037194173384</v>
      </c>
    </row>
    <row r="8" spans="1:34" ht="22.5" customHeight="1" x14ac:dyDescent="0.25">
      <c r="A8" s="34"/>
      <c r="B8" s="5" t="s">
        <v>15</v>
      </c>
      <c r="C8" s="3">
        <f>301656+650124+1583</f>
        <v>953363</v>
      </c>
      <c r="D8" s="17">
        <v>0.88499571983931713</v>
      </c>
      <c r="E8" s="3">
        <f>283627+729214+1845</f>
        <v>1014686</v>
      </c>
      <c r="F8" s="17">
        <v>0.91097375864802532</v>
      </c>
      <c r="G8" s="3">
        <f>246043+1383+609345</f>
        <v>856771</v>
      </c>
      <c r="H8" s="17">
        <v>0.85193503608762888</v>
      </c>
      <c r="I8" s="3">
        <f>226840+976+410715</f>
        <v>638531</v>
      </c>
      <c r="J8" s="3"/>
      <c r="K8" s="17">
        <v>0.86869031278927711</v>
      </c>
      <c r="L8" s="3">
        <f>198165+667+301363</f>
        <v>500195</v>
      </c>
      <c r="M8" s="3"/>
      <c r="N8" s="17">
        <v>0.8759714522888109</v>
      </c>
      <c r="O8" s="3">
        <f>154720+353+293758</f>
        <v>448831</v>
      </c>
      <c r="P8" s="3"/>
      <c r="Q8" s="17">
        <v>0.94964525348978657</v>
      </c>
      <c r="R8" s="3">
        <f>160683+321025+130</f>
        <v>481838</v>
      </c>
      <c r="S8" s="3"/>
      <c r="T8" s="17">
        <v>1.1251962654351972</v>
      </c>
      <c r="U8" s="3">
        <f>202081+300496+192</f>
        <v>502769</v>
      </c>
      <c r="V8" s="3"/>
      <c r="W8" s="17">
        <v>0.90979721772150091</v>
      </c>
      <c r="X8" s="3">
        <f>197160+378702+733</f>
        <v>576595</v>
      </c>
      <c r="Y8" s="3"/>
      <c r="Z8" s="17">
        <v>1.5259015325956058</v>
      </c>
      <c r="AA8" s="3">
        <f>284555+1077+469126</f>
        <v>754758</v>
      </c>
      <c r="AB8" s="3"/>
      <c r="AC8" s="17">
        <v>1.0413245979688606</v>
      </c>
      <c r="AD8" s="3">
        <f>239475+1267+510471</f>
        <v>751213</v>
      </c>
      <c r="AE8" s="3"/>
      <c r="AF8" s="17">
        <v>1.2208169729317386</v>
      </c>
      <c r="AG8" s="3">
        <f>285109+1597+690552</f>
        <v>977258</v>
      </c>
      <c r="AH8" s="15">
        <f>'2022'!D8/'2021'!AG8</f>
        <v>0.93958811286272403</v>
      </c>
    </row>
    <row r="9" spans="1:34" ht="22.5" customHeight="1" x14ac:dyDescent="0.25">
      <c r="A9" s="34"/>
      <c r="B9" s="5" t="s">
        <v>21</v>
      </c>
      <c r="C9" s="3">
        <f>25285+34</f>
        <v>25319</v>
      </c>
      <c r="D9" s="17">
        <v>1.0070472042660448</v>
      </c>
      <c r="E9" s="3">
        <f>19954+17</f>
        <v>19971</v>
      </c>
      <c r="F9" s="17">
        <v>0.94285908874208268</v>
      </c>
      <c r="G9" s="3">
        <f>60+20573</f>
        <v>20633</v>
      </c>
      <c r="H9" s="17">
        <v>0.95396922854666277</v>
      </c>
      <c r="I9" s="3">
        <f>134+16988</f>
        <v>17122</v>
      </c>
      <c r="J9" s="3"/>
      <c r="K9" s="17">
        <v>0.91551668654286633</v>
      </c>
      <c r="L9" s="3">
        <f>113+13094</f>
        <v>13207</v>
      </c>
      <c r="M9" s="3"/>
      <c r="N9" s="17">
        <v>0.91119427673476139</v>
      </c>
      <c r="O9" s="3">
        <f>76+13350</f>
        <v>13426</v>
      </c>
      <c r="P9" s="3"/>
      <c r="Q9" s="17">
        <v>1.0263223581202205</v>
      </c>
      <c r="R9" s="3">
        <f>10751+72</f>
        <v>10823</v>
      </c>
      <c r="S9" s="3"/>
      <c r="T9" s="17">
        <v>0.25278029582789802</v>
      </c>
      <c r="U9" s="3">
        <f>9119+103</f>
        <v>9222</v>
      </c>
      <c r="V9" s="3"/>
      <c r="W9" s="17">
        <v>1.2545263710312253</v>
      </c>
      <c r="X9" s="3">
        <f>10106+314</f>
        <v>10420</v>
      </c>
      <c r="Y9" s="3"/>
      <c r="Z9" s="17">
        <v>0.84480234260614939</v>
      </c>
      <c r="AA9" s="3">
        <f>156+9464</f>
        <v>9620</v>
      </c>
      <c r="AB9" s="3"/>
      <c r="AC9" s="17">
        <v>1.1966658413798794</v>
      </c>
      <c r="AD9" s="3">
        <f>197+9984</f>
        <v>10181</v>
      </c>
      <c r="AE9" s="3"/>
      <c r="AF9" s="17">
        <v>1.0469655172413792</v>
      </c>
      <c r="AG9" s="3">
        <f>66+15033</f>
        <v>15099</v>
      </c>
      <c r="AH9" s="15">
        <f>'2022'!D9/'2021'!AG9</f>
        <v>1.2795549374130737</v>
      </c>
    </row>
    <row r="10" spans="1:34" ht="22.5" customHeight="1" x14ac:dyDescent="0.25">
      <c r="A10" s="34"/>
      <c r="B10" s="30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</row>
    <row r="11" spans="1:34" ht="22.5" customHeight="1" x14ac:dyDescent="0.25">
      <c r="A11" s="34"/>
      <c r="B11" s="4"/>
      <c r="C11" s="3">
        <v>0</v>
      </c>
      <c r="D11" s="17"/>
      <c r="E11" s="3">
        <v>0</v>
      </c>
      <c r="F11" s="17"/>
      <c r="G11" s="3">
        <v>0</v>
      </c>
      <c r="H11" s="17"/>
      <c r="I11" s="3">
        <v>0</v>
      </c>
      <c r="J11" s="3"/>
      <c r="K11" s="17"/>
      <c r="L11" s="3"/>
      <c r="M11" s="3"/>
      <c r="N11" s="17"/>
      <c r="O11" s="3"/>
      <c r="P11" s="3"/>
      <c r="Q11" s="17"/>
      <c r="R11" s="3"/>
      <c r="S11" s="3"/>
      <c r="T11" s="17"/>
      <c r="U11" s="3"/>
      <c r="V11" s="3"/>
      <c r="W11" s="17"/>
      <c r="X11" s="3"/>
      <c r="Y11" s="3"/>
      <c r="Z11" s="17"/>
      <c r="AA11" s="3"/>
      <c r="AB11" s="3"/>
      <c r="AC11" s="17"/>
      <c r="AD11" s="3"/>
      <c r="AE11" s="3"/>
      <c r="AF11" s="17"/>
      <c r="AG11" s="3"/>
    </row>
    <row r="12" spans="1:34" ht="30.75" customHeight="1" x14ac:dyDescent="0.25">
      <c r="A12" s="35"/>
      <c r="B12" s="6" t="s">
        <v>16</v>
      </c>
      <c r="C12" s="10">
        <f>SUM(C6:C9,C11)</f>
        <v>40239881</v>
      </c>
      <c r="D12" s="19"/>
      <c r="E12" s="10">
        <f t="shared" ref="E12:AG12" si="0">SUM(E6:E9,E11)</f>
        <v>39109838</v>
      </c>
      <c r="F12" s="19"/>
      <c r="G12" s="10">
        <f>SUM(G6:G9,G11)</f>
        <v>40473474</v>
      </c>
      <c r="H12" s="19"/>
      <c r="I12" s="10">
        <f t="shared" si="0"/>
        <v>34906562</v>
      </c>
      <c r="J12" s="10"/>
      <c r="K12" s="19"/>
      <c r="L12" s="10">
        <f t="shared" si="0"/>
        <v>33512023</v>
      </c>
      <c r="M12" s="10"/>
      <c r="N12" s="19"/>
      <c r="O12" s="10">
        <f t="shared" si="0"/>
        <v>34172851</v>
      </c>
      <c r="P12" s="10"/>
      <c r="Q12" s="19"/>
      <c r="R12" s="10">
        <f>SUM(R6:R9,R11)</f>
        <v>36495769</v>
      </c>
      <c r="S12" s="10"/>
      <c r="T12" s="19"/>
      <c r="U12" s="10">
        <f>SUM(U6:U9,U11)</f>
        <v>36795848</v>
      </c>
      <c r="V12" s="10"/>
      <c r="W12" s="19"/>
      <c r="X12" s="10">
        <f t="shared" si="0"/>
        <v>36108227</v>
      </c>
      <c r="Y12" s="10"/>
      <c r="Z12" s="19"/>
      <c r="AA12" s="10">
        <f t="shared" si="0"/>
        <v>39646974</v>
      </c>
      <c r="AB12" s="10"/>
      <c r="AC12" s="19"/>
      <c r="AD12" s="10">
        <f t="shared" si="0"/>
        <v>40539775</v>
      </c>
      <c r="AE12" s="10"/>
      <c r="AF12" s="19"/>
      <c r="AG12" s="10">
        <f t="shared" si="0"/>
        <v>45044221</v>
      </c>
    </row>
    <row r="13" spans="1:34" ht="22.5" customHeight="1" x14ac:dyDescent="0.25">
      <c r="A13" s="36" t="s">
        <v>16</v>
      </c>
      <c r="B13" s="37"/>
      <c r="C13" s="10">
        <f>C12</f>
        <v>40239881</v>
      </c>
      <c r="D13" s="19"/>
      <c r="E13" s="10">
        <f t="shared" ref="E13:AG13" si="1">E12</f>
        <v>39109838</v>
      </c>
      <c r="F13" s="19"/>
      <c r="G13" s="10">
        <f t="shared" si="1"/>
        <v>40473474</v>
      </c>
      <c r="H13" s="19"/>
      <c r="I13" s="10">
        <f t="shared" si="1"/>
        <v>34906562</v>
      </c>
      <c r="J13" s="10"/>
      <c r="K13" s="19"/>
      <c r="L13" s="10">
        <f t="shared" si="1"/>
        <v>33512023</v>
      </c>
      <c r="M13" s="10"/>
      <c r="N13" s="19"/>
      <c r="O13" s="10">
        <f t="shared" si="1"/>
        <v>34172851</v>
      </c>
      <c r="P13" s="10"/>
      <c r="Q13" s="19"/>
      <c r="R13" s="10">
        <f t="shared" si="1"/>
        <v>36495769</v>
      </c>
      <c r="S13" s="10"/>
      <c r="T13" s="19"/>
      <c r="U13" s="10">
        <f t="shared" si="1"/>
        <v>36795848</v>
      </c>
      <c r="V13" s="10"/>
      <c r="W13" s="19"/>
      <c r="X13" s="10">
        <f t="shared" si="1"/>
        <v>36108227</v>
      </c>
      <c r="Y13" s="10"/>
      <c r="Z13" s="19"/>
      <c r="AA13" s="10">
        <f t="shared" si="1"/>
        <v>39646974</v>
      </c>
      <c r="AB13" s="10"/>
      <c r="AC13" s="19"/>
      <c r="AD13" s="10">
        <f t="shared" si="1"/>
        <v>40539775</v>
      </c>
      <c r="AE13" s="10"/>
      <c r="AF13" s="19"/>
      <c r="AG13" s="10">
        <f t="shared" si="1"/>
        <v>45044221</v>
      </c>
    </row>
    <row r="18" spans="15:15" ht="22.5" customHeight="1" x14ac:dyDescent="0.25">
      <c r="O18" s="1">
        <f>O5/L5</f>
        <v>0.66621324814056804</v>
      </c>
    </row>
    <row r="19" spans="15:15" ht="22.5" customHeight="1" x14ac:dyDescent="0.25">
      <c r="O19" s="1">
        <f t="shared" ref="O19:O22" si="2">O6/L6</f>
        <v>1.0219179646841228</v>
      </c>
    </row>
    <row r="20" spans="15:15" ht="22.5" customHeight="1" x14ac:dyDescent="0.25">
      <c r="O20" s="1">
        <f t="shared" si="2"/>
        <v>0.60366034380557199</v>
      </c>
    </row>
    <row r="21" spans="15:15" ht="22.5" customHeight="1" x14ac:dyDescent="0.25">
      <c r="O21" s="1">
        <f t="shared" si="2"/>
        <v>0.89731204830116251</v>
      </c>
    </row>
    <row r="22" spans="15:15" ht="22.5" customHeight="1" x14ac:dyDescent="0.25">
      <c r="O22" s="1">
        <f t="shared" si="2"/>
        <v>1.0165821155447869</v>
      </c>
    </row>
  </sheetData>
  <mergeCells count="5">
    <mergeCell ref="A2:AG2"/>
    <mergeCell ref="A4:A12"/>
    <mergeCell ref="B4:AG4"/>
    <mergeCell ref="B10:AG10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Ермакова Наталья Юрьевна</cp:lastModifiedBy>
  <dcterms:created xsi:type="dcterms:W3CDTF">2013-11-13T16:10:49Z</dcterms:created>
  <dcterms:modified xsi:type="dcterms:W3CDTF">2024-04-17T09:42:11Z</dcterms:modified>
</cp:coreProperties>
</file>