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30" yWindow="5910" windowWidth="25230" windowHeight="5775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calcPr calcId="162913"/>
</workbook>
</file>

<file path=xl/calcChain.xml><?xml version="1.0" encoding="utf-8"?>
<calcChain xmlns="http://schemas.openxmlformats.org/spreadsheetml/2006/main">
  <c r="N12" i="16" l="1"/>
  <c r="N13" i="16" s="1"/>
  <c r="M12" i="16"/>
  <c r="M13" i="16" s="1"/>
  <c r="L12" i="16"/>
  <c r="L13" i="16" s="1"/>
  <c r="K12" i="16"/>
  <c r="K13" i="16" s="1"/>
  <c r="J12" i="16"/>
  <c r="J13" i="16" s="1"/>
  <c r="I12" i="16"/>
  <c r="I13" i="16" s="1"/>
  <c r="H12" i="16"/>
  <c r="H13" i="16" s="1"/>
  <c r="G12" i="16"/>
  <c r="G13" i="16" s="1"/>
  <c r="F12" i="16"/>
  <c r="F13" i="16" s="1"/>
  <c r="E12" i="16"/>
  <c r="E13" i="16" s="1"/>
  <c r="D12" i="16"/>
  <c r="D13" i="16" s="1"/>
  <c r="C12" i="16"/>
  <c r="C13" i="16" s="1"/>
  <c r="AE6" i="13" l="1"/>
  <c r="AE5" i="13"/>
  <c r="N12" i="15"/>
  <c r="N13" i="15" s="1"/>
  <c r="M12" i="15"/>
  <c r="M13" i="15" s="1"/>
  <c r="L12" i="15"/>
  <c r="L13" i="15" s="1"/>
  <c r="K12" i="15"/>
  <c r="K13" i="15" s="1"/>
  <c r="J12" i="15"/>
  <c r="J13" i="15" s="1"/>
  <c r="I12" i="15"/>
  <c r="I13" i="15" s="1"/>
  <c r="H12" i="15"/>
  <c r="H13" i="15" s="1"/>
  <c r="G12" i="15"/>
  <c r="G13" i="15" s="1"/>
  <c r="F12" i="15"/>
  <c r="F13" i="15" s="1"/>
  <c r="E12" i="15"/>
  <c r="E13" i="15" s="1"/>
  <c r="D12" i="15"/>
  <c r="D13" i="15" s="1"/>
  <c r="C12" i="15"/>
  <c r="C13" i="15" s="1"/>
  <c r="AO12" i="14" l="1"/>
  <c r="AO13" i="14" s="1"/>
  <c r="AK12" i="14"/>
  <c r="AK13" i="14" s="1"/>
  <c r="AG12" i="14"/>
  <c r="AG13" i="14" s="1"/>
  <c r="AC12" i="14"/>
  <c r="AC13" i="14" s="1"/>
  <c r="Z12" i="14"/>
  <c r="Z13" i="14" s="1"/>
  <c r="V12" i="14"/>
  <c r="V13" i="14" s="1"/>
  <c r="S12" i="14"/>
  <c r="S13" i="14" s="1"/>
  <c r="O12" i="14"/>
  <c r="O13" i="14" s="1"/>
  <c r="K12" i="14"/>
  <c r="K13" i="14" s="1"/>
  <c r="H12" i="14"/>
  <c r="H13" i="14" s="1"/>
  <c r="F12" i="14"/>
  <c r="F13" i="14" s="1"/>
  <c r="C12" i="14"/>
  <c r="C13" i="14" s="1"/>
  <c r="V6" i="12" l="1"/>
  <c r="V5" i="12"/>
  <c r="AD12" i="13"/>
  <c r="AD13" i="13" s="1"/>
  <c r="AA12" i="13"/>
  <c r="AA13" i="13"/>
  <c r="X12" i="13"/>
  <c r="X13" i="13"/>
  <c r="U12" i="13"/>
  <c r="U13" i="13"/>
  <c r="S12" i="13"/>
  <c r="S13" i="13"/>
  <c r="P12" i="13"/>
  <c r="P13" i="13"/>
  <c r="N12" i="13"/>
  <c r="N13" i="13"/>
  <c r="K12" i="13"/>
  <c r="K13" i="13"/>
  <c r="H12" i="13"/>
  <c r="H13" i="13"/>
  <c r="F12" i="13"/>
  <c r="F13" i="13"/>
  <c r="E12" i="13"/>
  <c r="E13" i="13"/>
  <c r="C12" i="13"/>
  <c r="C13" i="13"/>
  <c r="O6" i="11"/>
  <c r="O5" i="11"/>
  <c r="Q6" i="11"/>
  <c r="Q5" i="11"/>
  <c r="U12" i="12"/>
  <c r="U13" i="12"/>
  <c r="S12" i="12"/>
  <c r="S13" i="12"/>
  <c r="Q12" i="12"/>
  <c r="Q13" i="12"/>
  <c r="O12" i="12"/>
  <c r="O13" i="12"/>
  <c r="N12" i="12"/>
  <c r="N13" i="12"/>
  <c r="L12" i="12"/>
  <c r="L13" i="12"/>
  <c r="J12" i="12"/>
  <c r="J13" i="12"/>
  <c r="H12" i="12"/>
  <c r="H13" i="12"/>
  <c r="F12" i="12"/>
  <c r="F13" i="12"/>
  <c r="E12" i="12"/>
  <c r="E13" i="12"/>
  <c r="D12" i="12"/>
  <c r="D13" i="12"/>
  <c r="C12" i="12"/>
  <c r="C13" i="12"/>
  <c r="L12" i="11"/>
  <c r="L13" i="11"/>
  <c r="N12" i="11"/>
  <c r="N13" i="11"/>
  <c r="M12" i="11"/>
  <c r="M13" i="11"/>
  <c r="K12" i="11"/>
  <c r="K13" i="11"/>
  <c r="J12" i="11"/>
  <c r="J13" i="11"/>
  <c r="I12" i="11"/>
  <c r="I13" i="11"/>
  <c r="H12" i="11"/>
  <c r="H13" i="11"/>
  <c r="G12" i="11"/>
  <c r="G13" i="11"/>
  <c r="D12" i="11"/>
  <c r="D13" i="11"/>
  <c r="C12" i="11"/>
  <c r="C13" i="11"/>
  <c r="F12" i="11"/>
  <c r="F13" i="11"/>
  <c r="E12" i="11"/>
  <c r="E13" i="11"/>
  <c r="N6" i="10"/>
  <c r="M6" i="10"/>
  <c r="L6" i="10"/>
  <c r="K6" i="10"/>
  <c r="J6" i="10"/>
  <c r="I6" i="10"/>
  <c r="H6" i="10"/>
  <c r="G6" i="10"/>
  <c r="E5" i="10"/>
  <c r="E6" i="10"/>
  <c r="F6" i="10"/>
  <c r="F5" i="10"/>
  <c r="D6" i="10"/>
  <c r="C6" i="10"/>
  <c r="N12" i="10"/>
  <c r="N13" i="10"/>
  <c r="L12" i="10"/>
  <c r="L13" i="10"/>
  <c r="K12" i="10"/>
  <c r="K13" i="10"/>
  <c r="J12" i="10"/>
  <c r="J13" i="10"/>
  <c r="G12" i="10"/>
  <c r="G13" i="10"/>
  <c r="M12" i="10"/>
  <c r="M13" i="10"/>
  <c r="I12" i="10"/>
  <c r="I13" i="10"/>
  <c r="H12" i="10"/>
  <c r="H13" i="10"/>
  <c r="F12" i="10"/>
  <c r="F13" i="10"/>
  <c r="E12" i="10"/>
  <c r="E13" i="10"/>
  <c r="D12" i="10"/>
  <c r="D13" i="10"/>
  <c r="C12" i="10"/>
  <c r="C13" i="10"/>
  <c r="M6" i="9"/>
  <c r="K6" i="9"/>
  <c r="J6" i="9"/>
  <c r="J5" i="9"/>
  <c r="J12" i="9"/>
  <c r="J13" i="9"/>
  <c r="I6" i="9"/>
  <c r="I12" i="9"/>
  <c r="I13" i="9"/>
  <c r="G6" i="9"/>
  <c r="F6" i="9"/>
  <c r="E6" i="9"/>
  <c r="D6" i="9"/>
  <c r="C6" i="9"/>
  <c r="H6" i="9"/>
  <c r="H5" i="9"/>
  <c r="G12" i="9"/>
  <c r="G13" i="9"/>
  <c r="F5" i="9"/>
  <c r="E5" i="9"/>
  <c r="D5" i="9"/>
  <c r="C5" i="9"/>
  <c r="N12" i="9"/>
  <c r="N13" i="9"/>
  <c r="H12" i="9"/>
  <c r="H13" i="9"/>
  <c r="F12" i="9"/>
  <c r="F13" i="9"/>
  <c r="M12" i="9"/>
  <c r="M13" i="9"/>
  <c r="L12" i="9"/>
  <c r="L13" i="9"/>
  <c r="K12" i="9"/>
  <c r="K13" i="9"/>
  <c r="E12" i="9"/>
  <c r="E13" i="9"/>
  <c r="D12" i="9"/>
  <c r="D13" i="9"/>
  <c r="C12" i="9"/>
  <c r="C13" i="9"/>
  <c r="M5" i="8"/>
  <c r="M12" i="8"/>
  <c r="L5" i="8"/>
  <c r="K5" i="8"/>
  <c r="J5" i="8"/>
  <c r="E5" i="8"/>
  <c r="D5" i="8"/>
  <c r="C5" i="8"/>
  <c r="C12" i="8"/>
  <c r="K12" i="8"/>
  <c r="K13" i="8"/>
  <c r="J12" i="8"/>
  <c r="J13" i="8"/>
  <c r="I12" i="8"/>
  <c r="I13" i="8"/>
  <c r="H12" i="8"/>
  <c r="H13" i="8"/>
  <c r="G12" i="8"/>
  <c r="G13" i="8"/>
  <c r="F12" i="8"/>
  <c r="F13" i="8"/>
  <c r="E12" i="8"/>
  <c r="E13" i="8"/>
  <c r="D12" i="8"/>
  <c r="D13" i="8"/>
  <c r="C13" i="8"/>
  <c r="N12" i="8"/>
  <c r="N13" i="8"/>
  <c r="M13" i="8"/>
  <c r="L12" i="8"/>
  <c r="L13" i="8"/>
  <c r="N5" i="7"/>
  <c r="M5" i="7"/>
  <c r="L5" i="7"/>
  <c r="N12" i="7"/>
  <c r="N13" i="7"/>
  <c r="M12" i="7"/>
  <c r="M13" i="7"/>
  <c r="L12" i="7"/>
  <c r="L13" i="7"/>
  <c r="K12" i="7"/>
  <c r="K13" i="7"/>
  <c r="J12" i="7"/>
  <c r="J13" i="7"/>
  <c r="I12" i="7"/>
  <c r="I13" i="7"/>
  <c r="H12" i="7"/>
  <c r="H13" i="7"/>
  <c r="G12" i="7"/>
  <c r="G13" i="7"/>
  <c r="F12" i="7"/>
  <c r="F13" i="7"/>
  <c r="E12" i="7"/>
  <c r="E13" i="7"/>
  <c r="D12" i="7"/>
  <c r="D13" i="7"/>
  <c r="C12" i="7"/>
  <c r="C13" i="7"/>
  <c r="E12" i="6"/>
  <c r="E13" i="6"/>
  <c r="D12" i="6"/>
  <c r="D13" i="6"/>
  <c r="C12" i="6"/>
  <c r="C13" i="6"/>
  <c r="F12" i="6"/>
  <c r="F13" i="6"/>
  <c r="G12" i="6"/>
  <c r="G13" i="6"/>
  <c r="H12" i="6"/>
  <c r="H13" i="6"/>
  <c r="I12" i="6"/>
  <c r="I13" i="6"/>
  <c r="J12" i="6"/>
  <c r="J13" i="6"/>
  <c r="K12" i="6"/>
  <c r="K13" i="6"/>
  <c r="L12" i="6"/>
  <c r="L13" i="6"/>
  <c r="M12" i="6"/>
  <c r="M13" i="6"/>
  <c r="N12" i="6"/>
  <c r="N13" i="6"/>
  <c r="N11" i="5"/>
  <c r="N12" i="5"/>
  <c r="M11" i="5"/>
  <c r="M12" i="5"/>
  <c r="L11" i="5"/>
  <c r="L12" i="5"/>
  <c r="K11" i="5"/>
  <c r="K12" i="5"/>
  <c r="J11" i="5"/>
  <c r="J12" i="5"/>
  <c r="I11" i="5"/>
  <c r="I12" i="5"/>
  <c r="H11" i="5"/>
  <c r="H12" i="5"/>
  <c r="G11" i="5"/>
  <c r="G12" i="5"/>
  <c r="F11" i="5"/>
  <c r="F12" i="5"/>
  <c r="E11" i="5"/>
  <c r="E12" i="5"/>
  <c r="D11" i="5"/>
  <c r="D12" i="5"/>
  <c r="C11" i="5"/>
  <c r="C12" i="5"/>
</calcChain>
</file>

<file path=xl/sharedStrings.xml><?xml version="1.0" encoding="utf-8"?>
<sst xmlns="http://schemas.openxmlformats.org/spreadsheetml/2006/main" count="299" uniqueCount="38">
  <si>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</si>
  <si>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</si>
  <si>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</si>
  <si>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</si>
  <si>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</si>
  <si>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</si>
  <si>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</si>
  <si>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</si>
  <si>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</si>
  <si>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</si>
  <si>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</si>
  <si>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</si>
  <si>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</si>
  <si>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</si>
  <si>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</si>
  <si>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</si>
  <si>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</si>
  <si>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</si>
  <si>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</si>
  <si>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</si>
  <si>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Прочие потребители, кВт*ч</t>
  </si>
  <si>
    <t>Население, кВт*ч</t>
  </si>
  <si>
    <t>Информация о фактическом полезном отпуске электрической энергии (мощности) потребителям ООО "РУСЭНЕРГОСБЫТ" в границах Забайкальского края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</si>
  <si>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Забайкальского края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</si>
  <si>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Забайкальского края в разрезе ТСО за 2015 год</t>
  </si>
  <si>
    <t>ОАО "МРСК Сибири" "Читаэнерго"</t>
  </si>
  <si>
    <t>Информация о фактическом полезном отпуске электрической энергии (мощности) потребителям ООО "РУСЭНЕРГОСБЫТ" в границах Забайкальского края в разрезе ТСО за 2016 год</t>
  </si>
  <si>
    <t>ПАО "МРСК Сибири" "Читаэнерго"</t>
  </si>
  <si>
    <t>Информация о фактическом полезном отпуске электрической энергии (мощности) потребителям ООО "РУСЭНЕРГОСБЫТ" в границах Забайкальского края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</si>
  <si>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Забайкальского края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</si>
  <si>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Забайкальского края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</si>
  <si>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Забайкальского края в разрезе ТСО за 2020 год</t>
  </si>
  <si>
    <t>Филиал ПАО «Россети Сибирь» - "Читаэнерго"</t>
  </si>
  <si>
    <t>Информация о фактическом полезном отпуске электрической энергии (мощности) потребителям ООО "РУСЭНЕРГОСБЫТ" в границах Забайкальского края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</si>
  <si>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Забайкальского края в разрезе ТСО за 2022 год</t>
  </si>
  <si>
    <t>Филиал ПАО "Россети Сибирь" - "Читаэнерго"</t>
  </si>
  <si>
    <t>Информация о фактическом полезном отпуске электрической энергии (мощности) потребителям ООО "РУСЭНЕРГОСБЫТ" в границах Забайкальского края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</si>
  <si>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Забайкальского края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</si>
</sst>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00_ ;\-#,##0.0000\ 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9" borderId="9" applyNumberFormat="0" applyAlignment="0" applyProtection="0"/>
    <xf numFmtId="0" fontId="13" fillId="22" borderId="10" applyNumberFormat="0" applyAlignment="0" applyProtection="0"/>
    <xf numFmtId="0" fontId="14" fillId="22" borderId="9" applyNumberFormat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23" borderId="15" applyNumberFormat="0" applyAlignment="0" applyProtection="0"/>
    <xf numFmtId="0" fontId="2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8" fillId="0" borderId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5" borderId="16" applyNumberFormat="0" applyFont="0" applyAlignment="0" applyProtection="0"/>
    <xf numFmtId="0" fontId="24" fillId="0" borderId="17" applyNumberFormat="0" applyFill="0" applyAlignment="0" applyProtection="0"/>
    <xf numFmtId="0" fontId="25" fillId="0" borderId="0"/>
    <xf numFmtId="0" fontId="2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1" fillId="0" borderId="0"/>
    <xf numFmtId="0" fontId="9" fillId="0" borderId="0"/>
    <xf numFmtId="164" fontId="10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8" fillId="0" borderId="0"/>
  </cellStyleXfs>
  <cellXfs count="29">
    <xf numFmtId="0" fontId="0" fillId="0" borderId="0" xfId="0"/>
    <xf numFmtId="0" fontId="2" fillId="0" borderId="0" xfId="0" applyFont="1"/>
    <xf numFmtId="3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/>
    <xf numFmtId="3" fontId="2" fillId="0" borderId="6" xfId="0" applyNumberFormat="1" applyFont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 vertical="center"/>
    </xf>
    <xf numFmtId="3" fontId="1" fillId="3" borderId="3" xfId="2" applyNumberFormat="1" applyFill="1" applyBorder="1" applyAlignment="1">
      <alignment horizontal="center" vertical="center"/>
    </xf>
    <xf numFmtId="3" fontId="5" fillId="3" borderId="3" xfId="2" applyNumberFormat="1" applyFont="1" applyFill="1" applyBorder="1" applyAlignment="1">
      <alignment horizontal="center" vertical="center"/>
    </xf>
    <xf numFmtId="165" fontId="6" fillId="0" borderId="0" xfId="0" applyNumberFormat="1" applyFont="1"/>
    <xf numFmtId="0" fontId="7" fillId="0" borderId="0" xfId="0" applyFont="1"/>
    <xf numFmtId="166" fontId="4" fillId="0" borderId="3" xfId="1" applyNumberFormat="1" applyFont="1" applyBorder="1" applyAlignment="1">
      <alignment horizontal="center" vertical="center"/>
    </xf>
    <xf numFmtId="0" fontId="6" fillId="0" borderId="0" xfId="0" applyFont="1"/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7">
    <cellStyle name="20% — акцент1 2" xfId="4"/>
    <cellStyle name="20% — акцент2 2" xfId="5"/>
    <cellStyle name="20% — акцент3 2" xfId="6"/>
    <cellStyle name="20% — акцент4 2" xfId="7"/>
    <cellStyle name="20% — акцент5 2" xfId="8"/>
    <cellStyle name="20% — акцент6 2" xfId="9"/>
    <cellStyle name="40% — акцент1 2" xfId="10"/>
    <cellStyle name="40% — акцент2" xfId="2" builtinId="35"/>
    <cellStyle name="40% — акцент2 2" xfId="11"/>
    <cellStyle name="40% — акцент3 2" xfId="12"/>
    <cellStyle name="40% — акцент4 2" xfId="13"/>
    <cellStyle name="40% — акцент5 2" xfId="14"/>
    <cellStyle name="40% — акцент6 2" xfId="15"/>
    <cellStyle name="60% — акцент1 2" xfId="16"/>
    <cellStyle name="60% — акцент2 2" xfId="17"/>
    <cellStyle name="60% — акцент3 2" xfId="18"/>
    <cellStyle name="60% — акцент4 2" xfId="19"/>
    <cellStyle name="60% — акцент5 2" xfId="20"/>
    <cellStyle name="60% —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51"/>
    <cellStyle name="Обычный 2" xfId="39"/>
    <cellStyle name="Обычный 2 2" xfId="52"/>
    <cellStyle name="Обычный 2 2 3 2" xfId="49"/>
    <cellStyle name="Обычный 2 3" xfId="55"/>
    <cellStyle name="Обычный 3" xfId="48"/>
    <cellStyle name="Обычный 3 2" xfId="56"/>
    <cellStyle name="Обычный 4" xfId="3"/>
    <cellStyle name="Обычный 4 2" xfId="53"/>
    <cellStyle name="Плохой 2" xfId="40"/>
    <cellStyle name="Пояснение 2" xfId="41"/>
    <cellStyle name="Примечание 2" xfId="42"/>
    <cellStyle name="Связанная ячейка 2" xfId="43"/>
    <cellStyle name="Стиль 1" xfId="44"/>
    <cellStyle name="Текст предупреждения 2" xfId="45"/>
    <cellStyle name="Финансовый" xfId="1" builtinId="3"/>
    <cellStyle name="Финансовый 2" xfId="46"/>
    <cellStyle name="Финансовый 2 2" xfId="54"/>
    <cellStyle name="Финансовый 2 3" xfId="50"/>
    <cellStyle name="Хороши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B4" sqref="B4:N4"/>
    </sheetView>
  </sheetViews>
  <sheetFormatPr defaultColWidth="9.140625" defaultRowHeight="22.5" customHeight="1" x14ac:dyDescent="0.25"/>
  <cols>
    <col min="1" max="1" width="41.2851562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s="4" customFormat="1" ht="42.75" customHeight="1" x14ac:dyDescent="0.2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7" customFormat="1" ht="33" customHeight="1" x14ac:dyDescent="0.25">
      <c r="A3" s="3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4" s="7" customFormat="1" ht="33" customHeight="1" x14ac:dyDescent="0.25">
      <c r="A4" s="25" t="s">
        <v>25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26"/>
      <c r="B5" s="10" t="s">
        <v>14</v>
      </c>
      <c r="C5" s="8">
        <v>14827249</v>
      </c>
      <c r="D5" s="8">
        <v>15434015</v>
      </c>
      <c r="E5" s="8">
        <v>14032170</v>
      </c>
      <c r="F5" s="8">
        <v>13658680</v>
      </c>
      <c r="G5" s="8">
        <v>12808538</v>
      </c>
      <c r="H5" s="8">
        <v>11808556</v>
      </c>
      <c r="I5" s="8">
        <v>11629701</v>
      </c>
      <c r="J5" s="8">
        <v>11926198</v>
      </c>
      <c r="K5" s="8">
        <v>12132258</v>
      </c>
      <c r="L5" s="8">
        <v>12146850</v>
      </c>
      <c r="M5" s="8">
        <v>14048959</v>
      </c>
      <c r="N5" s="8">
        <v>14873108</v>
      </c>
    </row>
    <row r="6" spans="1:14" ht="22.5" customHeight="1" x14ac:dyDescent="0.25">
      <c r="A6" s="26"/>
      <c r="B6" s="10" t="s">
        <v>15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2.5" customHeight="1" x14ac:dyDescent="0.25">
      <c r="A7" s="26"/>
      <c r="B7" s="10" t="s">
        <v>16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2.5" customHeight="1" x14ac:dyDescent="0.25">
      <c r="A8" s="26"/>
      <c r="B8" s="10" t="s">
        <v>17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6"/>
      <c r="B9" s="20" t="s">
        <v>21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22.5" customHeight="1" x14ac:dyDescent="0.25">
      <c r="A10" s="26"/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2.5" customHeight="1" x14ac:dyDescent="0.25">
      <c r="A11" s="27"/>
      <c r="B11" s="11" t="s">
        <v>18</v>
      </c>
      <c r="C11" s="8">
        <f>SUM(C5:C8,C10)</f>
        <v>14827249</v>
      </c>
      <c r="D11" s="8">
        <f t="shared" ref="D11:N11" si="0">SUM(D5:D8,D10)</f>
        <v>15434015</v>
      </c>
      <c r="E11" s="8">
        <f t="shared" si="0"/>
        <v>14032170</v>
      </c>
      <c r="F11" s="8">
        <f t="shared" si="0"/>
        <v>13658680</v>
      </c>
      <c r="G11" s="8">
        <f t="shared" si="0"/>
        <v>12808538</v>
      </c>
      <c r="H11" s="8">
        <f t="shared" si="0"/>
        <v>11808556</v>
      </c>
      <c r="I11" s="8">
        <f t="shared" si="0"/>
        <v>11629701</v>
      </c>
      <c r="J11" s="8">
        <f t="shared" si="0"/>
        <v>11926198</v>
      </c>
      <c r="K11" s="8">
        <f t="shared" si="0"/>
        <v>12132258</v>
      </c>
      <c r="L11" s="8">
        <f t="shared" si="0"/>
        <v>12146850</v>
      </c>
      <c r="M11" s="8">
        <f t="shared" si="0"/>
        <v>14048959</v>
      </c>
      <c r="N11" s="8">
        <f t="shared" si="0"/>
        <v>14873108</v>
      </c>
    </row>
    <row r="12" spans="1:14" ht="30.75" customHeight="1" x14ac:dyDescent="0.25">
      <c r="A12" s="23" t="s">
        <v>18</v>
      </c>
      <c r="B12" s="24"/>
      <c r="C12" s="9">
        <f>C11</f>
        <v>14827249</v>
      </c>
      <c r="D12" s="9">
        <f t="shared" ref="D12:N12" si="1">D11</f>
        <v>15434015</v>
      </c>
      <c r="E12" s="9">
        <f t="shared" si="1"/>
        <v>14032170</v>
      </c>
      <c r="F12" s="9">
        <f t="shared" si="1"/>
        <v>13658680</v>
      </c>
      <c r="G12" s="9">
        <f t="shared" si="1"/>
        <v>12808538</v>
      </c>
      <c r="H12" s="9">
        <f t="shared" si="1"/>
        <v>11808556</v>
      </c>
      <c r="I12" s="9">
        <f t="shared" si="1"/>
        <v>11629701</v>
      </c>
      <c r="J12" s="9">
        <f t="shared" si="1"/>
        <v>11926198</v>
      </c>
      <c r="K12" s="9">
        <f t="shared" si="1"/>
        <v>12132258</v>
      </c>
      <c r="L12" s="9">
        <f t="shared" si="1"/>
        <v>12146850</v>
      </c>
      <c r="M12" s="9">
        <f t="shared" si="1"/>
        <v>14048959</v>
      </c>
      <c r="N12" s="9">
        <f t="shared" si="1"/>
        <v>14873108</v>
      </c>
    </row>
  </sheetData>
  <mergeCells count="5">
    <mergeCell ref="B9:N9"/>
    <mergeCell ref="A12:B12"/>
    <mergeCell ref="A4:A11"/>
    <mergeCell ref="B4:N4"/>
    <mergeCell ref="A2:N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topLeftCell="B1" zoomScale="80" zoomScaleNormal="80" workbookViewId="0">
      <selection activeCell="AP5" sqref="AP5"/>
    </sheetView>
  </sheetViews>
  <sheetFormatPr defaultRowHeight="15" x14ac:dyDescent="0.25"/>
  <cols>
    <col min="1" max="1" width="21.42578125" customWidth="1"/>
    <col min="2" max="2" width="15.140625" customWidth="1"/>
    <col min="3" max="3" width="21.140625" customWidth="1"/>
    <col min="4" max="5" width="21.140625" hidden="1" customWidth="1"/>
    <col min="6" max="6" width="21.140625" customWidth="1"/>
    <col min="7" max="7" width="21.140625" hidden="1" customWidth="1"/>
    <col min="8" max="8" width="21.140625" customWidth="1"/>
    <col min="9" max="10" width="21.140625" hidden="1" customWidth="1"/>
    <col min="11" max="11" width="21.140625" customWidth="1"/>
    <col min="12" max="14" width="21.140625" hidden="1" customWidth="1"/>
    <col min="15" max="15" width="21.140625" customWidth="1"/>
    <col min="16" max="18" width="21.140625" hidden="1" customWidth="1"/>
    <col min="19" max="19" width="21.140625" customWidth="1"/>
    <col min="20" max="21" width="21.140625" hidden="1" customWidth="1"/>
    <col min="22" max="22" width="21.140625" customWidth="1"/>
    <col min="23" max="25" width="21.140625" hidden="1" customWidth="1"/>
    <col min="26" max="26" width="21.140625" customWidth="1"/>
    <col min="27" max="28" width="21.140625" hidden="1" customWidth="1"/>
    <col min="29" max="29" width="21.140625" customWidth="1"/>
    <col min="30" max="32" width="21.140625" hidden="1" customWidth="1"/>
    <col min="33" max="33" width="21.140625" customWidth="1"/>
    <col min="34" max="36" width="21.140625" hidden="1" customWidth="1"/>
    <col min="37" max="37" width="21.140625" customWidth="1"/>
    <col min="38" max="40" width="21.140625" hidden="1" customWidth="1"/>
    <col min="41" max="41" width="21.140625" customWidth="1"/>
  </cols>
  <sheetData>
    <row r="1" spans="1:4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2" x14ac:dyDescent="0.25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2" ht="28.5" x14ac:dyDescent="0.25">
      <c r="A3" s="3" t="s">
        <v>0</v>
      </c>
      <c r="B3" s="5" t="s">
        <v>1</v>
      </c>
      <c r="C3" s="6" t="s">
        <v>2</v>
      </c>
      <c r="D3" s="6"/>
      <c r="E3" s="6"/>
      <c r="F3" s="6" t="s">
        <v>3</v>
      </c>
      <c r="G3" s="6"/>
      <c r="H3" s="6" t="s">
        <v>4</v>
      </c>
      <c r="I3" s="6"/>
      <c r="J3" s="6"/>
      <c r="K3" s="6" t="s">
        <v>5</v>
      </c>
      <c r="L3" s="6"/>
      <c r="M3" s="6"/>
      <c r="N3" s="6"/>
      <c r="O3" s="6" t="s">
        <v>6</v>
      </c>
      <c r="P3" s="6"/>
      <c r="Q3" s="6"/>
      <c r="R3" s="6"/>
      <c r="S3" s="6" t="s">
        <v>7</v>
      </c>
      <c r="T3" s="6"/>
      <c r="U3" s="6"/>
      <c r="V3" s="6" t="s">
        <v>8</v>
      </c>
      <c r="W3" s="6"/>
      <c r="X3" s="6"/>
      <c r="Y3" s="6"/>
      <c r="Z3" s="6" t="s">
        <v>9</v>
      </c>
      <c r="AA3" s="6"/>
      <c r="AB3" s="6"/>
      <c r="AC3" s="6" t="s">
        <v>10</v>
      </c>
      <c r="AD3" s="6"/>
      <c r="AE3" s="6"/>
      <c r="AF3" s="6"/>
      <c r="AG3" s="6" t="s">
        <v>11</v>
      </c>
      <c r="AH3" s="6"/>
      <c r="AI3" s="6"/>
      <c r="AJ3" s="6"/>
      <c r="AK3" s="6" t="s">
        <v>12</v>
      </c>
      <c r="AL3" s="6"/>
      <c r="AM3" s="6"/>
      <c r="AN3" s="6"/>
      <c r="AO3" s="6" t="s">
        <v>13</v>
      </c>
    </row>
    <row r="4" spans="1:42" x14ac:dyDescent="0.25">
      <c r="A4" s="25" t="s">
        <v>35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2"/>
    </row>
    <row r="5" spans="1:42" ht="21.75" customHeight="1" x14ac:dyDescent="0.25">
      <c r="A5" s="26"/>
      <c r="B5" s="10" t="s">
        <v>19</v>
      </c>
      <c r="C5" s="13">
        <v>240537401</v>
      </c>
      <c r="D5" s="13"/>
      <c r="E5" s="13">
        <v>0.85162026837909088</v>
      </c>
      <c r="F5" s="13">
        <v>235561755</v>
      </c>
      <c r="G5" s="13">
        <v>1.1424111948799693</v>
      </c>
      <c r="H5" s="13">
        <v>251186904</v>
      </c>
      <c r="I5" s="13"/>
      <c r="J5" s="13">
        <v>0.90611931459128914</v>
      </c>
      <c r="K5" s="8">
        <v>232896243</v>
      </c>
      <c r="L5" s="8"/>
      <c r="M5" s="8"/>
      <c r="N5" s="8">
        <v>1.0948111232787916</v>
      </c>
      <c r="O5" s="8">
        <v>225757755</v>
      </c>
      <c r="P5" s="8"/>
      <c r="Q5" s="8"/>
      <c r="R5" s="8">
        <v>0.95262942268649031</v>
      </c>
      <c r="S5" s="8">
        <v>219286494</v>
      </c>
      <c r="T5" s="8"/>
      <c r="U5" s="8">
        <v>1.0051263407264233</v>
      </c>
      <c r="V5" s="8">
        <v>227192250</v>
      </c>
      <c r="W5" s="13"/>
      <c r="X5" s="13"/>
      <c r="Y5" s="13">
        <v>1.1144075685845616</v>
      </c>
      <c r="Z5" s="13">
        <v>229996433</v>
      </c>
      <c r="AA5" s="13"/>
      <c r="AB5" s="13">
        <v>0.99648132817839663</v>
      </c>
      <c r="AC5" s="13">
        <v>221577249</v>
      </c>
      <c r="AD5" s="13"/>
      <c r="AE5" s="13"/>
      <c r="AF5" s="13">
        <v>1.0503529824758144</v>
      </c>
      <c r="AG5" s="13">
        <v>245229918</v>
      </c>
      <c r="AH5" s="13"/>
      <c r="AI5" s="13"/>
      <c r="AJ5" s="13">
        <v>1.0419567036840738</v>
      </c>
      <c r="AK5" s="13">
        <v>254405581</v>
      </c>
      <c r="AL5" s="13"/>
      <c r="AM5" s="13"/>
      <c r="AN5" s="13">
        <v>0.95908684734936356</v>
      </c>
      <c r="AO5" s="13">
        <v>265549417</v>
      </c>
      <c r="AP5" s="16"/>
    </row>
    <row r="6" spans="1:42" ht="23.25" customHeight="1" x14ac:dyDescent="0.25">
      <c r="A6" s="26"/>
      <c r="B6" s="10" t="s">
        <v>14</v>
      </c>
      <c r="C6" s="13">
        <v>12684008</v>
      </c>
      <c r="D6" s="13"/>
      <c r="E6" s="13">
        <v>0.91336449373367479</v>
      </c>
      <c r="F6" s="13">
        <v>11071410</v>
      </c>
      <c r="G6" s="13">
        <v>1.1020524962808709</v>
      </c>
      <c r="H6" s="13">
        <v>11858705</v>
      </c>
      <c r="I6" s="13"/>
      <c r="J6" s="13">
        <v>0.83737000784077242</v>
      </c>
      <c r="K6" s="13">
        <v>11447731</v>
      </c>
      <c r="L6" s="18"/>
      <c r="M6" s="18"/>
      <c r="N6" s="18">
        <v>1.0049772755149984</v>
      </c>
      <c r="O6" s="13">
        <v>10893641</v>
      </c>
      <c r="P6" s="13"/>
      <c r="Q6" s="13"/>
      <c r="R6" s="13">
        <v>0.93448525193532028</v>
      </c>
      <c r="S6" s="13">
        <v>10925490</v>
      </c>
      <c r="T6" s="13"/>
      <c r="U6" s="13">
        <v>0.90454956935237463</v>
      </c>
      <c r="V6" s="13">
        <v>10580503</v>
      </c>
      <c r="W6" s="13"/>
      <c r="X6" s="13"/>
      <c r="Y6" s="13">
        <v>1.0610765268625806</v>
      </c>
      <c r="Z6" s="13">
        <v>9413517</v>
      </c>
      <c r="AA6" s="13"/>
      <c r="AB6" s="13">
        <v>1.0108592858415679</v>
      </c>
      <c r="AC6" s="13">
        <v>8562721</v>
      </c>
      <c r="AD6" s="13"/>
      <c r="AE6" s="13"/>
      <c r="AF6" s="13">
        <v>1.0785169740602281</v>
      </c>
      <c r="AG6" s="13">
        <v>9769792</v>
      </c>
      <c r="AH6" s="13"/>
      <c r="AI6" s="13"/>
      <c r="AJ6" s="13">
        <v>0.99123955417878107</v>
      </c>
      <c r="AK6" s="13">
        <v>13298701</v>
      </c>
      <c r="AL6" s="13"/>
      <c r="AM6" s="13"/>
      <c r="AN6" s="13">
        <v>0.84883730476823094</v>
      </c>
      <c r="AO6" s="13">
        <v>15239988</v>
      </c>
      <c r="AP6" s="19"/>
    </row>
    <row r="7" spans="1:42" ht="23.25" customHeight="1" x14ac:dyDescent="0.25">
      <c r="A7" s="26"/>
      <c r="B7" s="10" t="s">
        <v>15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2" ht="21.75" customHeight="1" x14ac:dyDescent="0.25">
      <c r="A8" s="26"/>
      <c r="B8" s="10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2" ht="26.25" customHeight="1" x14ac:dyDescent="0.25">
      <c r="A9" s="26"/>
      <c r="B9" s="10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2" x14ac:dyDescent="0.25">
      <c r="A10" s="26"/>
      <c r="B10" s="21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2"/>
    </row>
    <row r="11" spans="1:42" ht="23.25" customHeight="1" x14ac:dyDescent="0.25">
      <c r="A11" s="26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2" ht="24.75" customHeight="1" x14ac:dyDescent="0.25">
      <c r="A12" s="27"/>
      <c r="B12" s="11" t="s">
        <v>18</v>
      </c>
      <c r="C12" s="9">
        <f>SUM(C5:C9,C11)</f>
        <v>253221409</v>
      </c>
      <c r="D12" s="9"/>
      <c r="E12" s="9"/>
      <c r="F12" s="9">
        <f>SUM(F5:F9,F11)</f>
        <v>246633165</v>
      </c>
      <c r="G12" s="9"/>
      <c r="H12" s="9">
        <f>SUM(H5:H9,H11)</f>
        <v>263045609</v>
      </c>
      <c r="I12" s="9"/>
      <c r="J12" s="9"/>
      <c r="K12" s="9">
        <f t="shared" ref="K12:AO12" si="0">SUM(K5:K9,K11)</f>
        <v>244343974</v>
      </c>
      <c r="L12" s="9"/>
      <c r="M12" s="9"/>
      <c r="N12" s="9"/>
      <c r="O12" s="9">
        <f t="shared" si="0"/>
        <v>236651396</v>
      </c>
      <c r="P12" s="9"/>
      <c r="Q12" s="9"/>
      <c r="R12" s="9"/>
      <c r="S12" s="9">
        <f t="shared" si="0"/>
        <v>230211984</v>
      </c>
      <c r="T12" s="9"/>
      <c r="U12" s="9"/>
      <c r="V12" s="9">
        <f t="shared" si="0"/>
        <v>237772753</v>
      </c>
      <c r="W12" s="9"/>
      <c r="X12" s="9"/>
      <c r="Y12" s="9"/>
      <c r="Z12" s="9">
        <f t="shared" si="0"/>
        <v>239409950</v>
      </c>
      <c r="AA12" s="9"/>
      <c r="AB12" s="9"/>
      <c r="AC12" s="9">
        <f t="shared" si="0"/>
        <v>230139970</v>
      </c>
      <c r="AD12" s="15"/>
      <c r="AE12" s="15"/>
      <c r="AF12" s="15"/>
      <c r="AG12" s="9">
        <f t="shared" si="0"/>
        <v>254999710</v>
      </c>
      <c r="AH12" s="9"/>
      <c r="AI12" s="9"/>
      <c r="AJ12" s="9"/>
      <c r="AK12" s="9">
        <f t="shared" si="0"/>
        <v>267704282</v>
      </c>
      <c r="AL12" s="9"/>
      <c r="AM12" s="9"/>
      <c r="AN12" s="9"/>
      <c r="AO12" s="9">
        <f t="shared" si="0"/>
        <v>280789405</v>
      </c>
    </row>
    <row r="13" spans="1:42" x14ac:dyDescent="0.25">
      <c r="A13" s="23" t="s">
        <v>18</v>
      </c>
      <c r="B13" s="24"/>
      <c r="C13" s="9">
        <f>C12</f>
        <v>253221409</v>
      </c>
      <c r="D13" s="9"/>
      <c r="E13" s="9"/>
      <c r="F13" s="9">
        <f t="shared" ref="F13:AO13" si="1">F12</f>
        <v>246633165</v>
      </c>
      <c r="G13" s="9"/>
      <c r="H13" s="9">
        <f t="shared" si="1"/>
        <v>263045609</v>
      </c>
      <c r="I13" s="9"/>
      <c r="J13" s="9"/>
      <c r="K13" s="9">
        <f t="shared" si="1"/>
        <v>244343974</v>
      </c>
      <c r="L13" s="9"/>
      <c r="M13" s="9"/>
      <c r="N13" s="9"/>
      <c r="O13" s="9">
        <f t="shared" si="1"/>
        <v>236651396</v>
      </c>
      <c r="P13" s="9"/>
      <c r="Q13" s="9"/>
      <c r="R13" s="9"/>
      <c r="S13" s="9">
        <f t="shared" si="1"/>
        <v>230211984</v>
      </c>
      <c r="T13" s="9"/>
      <c r="U13" s="9"/>
      <c r="V13" s="9">
        <f t="shared" si="1"/>
        <v>237772753</v>
      </c>
      <c r="W13" s="9"/>
      <c r="X13" s="9"/>
      <c r="Y13" s="9"/>
      <c r="Z13" s="9">
        <f t="shared" si="1"/>
        <v>239409950</v>
      </c>
      <c r="AA13" s="9"/>
      <c r="AB13" s="9"/>
      <c r="AC13" s="9">
        <f t="shared" si="1"/>
        <v>230139970</v>
      </c>
      <c r="AD13" s="9"/>
      <c r="AE13" s="9"/>
      <c r="AF13" s="9"/>
      <c r="AG13" s="9">
        <f t="shared" si="1"/>
        <v>254999710</v>
      </c>
      <c r="AH13" s="9"/>
      <c r="AI13" s="9"/>
      <c r="AJ13" s="9"/>
      <c r="AK13" s="9">
        <f t="shared" si="1"/>
        <v>267704282</v>
      </c>
      <c r="AL13" s="9"/>
      <c r="AM13" s="9"/>
      <c r="AN13" s="9"/>
      <c r="AO13" s="9">
        <f t="shared" si="1"/>
        <v>280789405</v>
      </c>
    </row>
  </sheetData>
  <mergeCells count="5">
    <mergeCell ref="A2:AO2"/>
    <mergeCell ref="A4:A12"/>
    <mergeCell ref="B4:AO4"/>
    <mergeCell ref="B10:AO10"/>
    <mergeCell ref="A13:B1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C5" sqref="C5:C6"/>
    </sheetView>
  </sheetViews>
  <sheetFormatPr defaultRowHeight="15" x14ac:dyDescent="0.25"/>
  <cols>
    <col min="1" max="1" width="21.42578125" customWidth="1"/>
    <col min="2" max="2" width="15.140625" customWidth="1"/>
    <col min="3" max="14" width="21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8.5" x14ac:dyDescent="0.25">
      <c r="A3" s="3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4" x14ac:dyDescent="0.25">
      <c r="A4" s="25" t="s">
        <v>35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1.75" customHeight="1" x14ac:dyDescent="0.25">
      <c r="A5" s="26"/>
      <c r="B5" s="10" t="s">
        <v>19</v>
      </c>
      <c r="C5" s="13">
        <v>259554267</v>
      </c>
      <c r="D5" s="13">
        <v>238001653</v>
      </c>
      <c r="E5" s="13">
        <v>252503462</v>
      </c>
      <c r="F5" s="8">
        <v>231791509</v>
      </c>
      <c r="G5" s="8">
        <v>234766665</v>
      </c>
      <c r="H5" s="8">
        <v>220999068</v>
      </c>
      <c r="I5" s="8">
        <v>225336878</v>
      </c>
      <c r="J5" s="13">
        <v>220398704</v>
      </c>
      <c r="K5" s="13">
        <v>214883020</v>
      </c>
      <c r="L5" s="13">
        <v>235797025</v>
      </c>
      <c r="M5" s="13">
        <v>240012687</v>
      </c>
      <c r="N5" s="13">
        <v>248219122</v>
      </c>
    </row>
    <row r="6" spans="1:14" ht="23.25" customHeight="1" x14ac:dyDescent="0.25">
      <c r="A6" s="26"/>
      <c r="B6" s="10" t="s">
        <v>14</v>
      </c>
      <c r="C6" s="13">
        <v>14421994</v>
      </c>
      <c r="D6" s="13">
        <v>13588773</v>
      </c>
      <c r="E6" s="13">
        <v>13642433</v>
      </c>
      <c r="F6" s="13">
        <v>10508580</v>
      </c>
      <c r="G6" s="13">
        <v>12887250</v>
      </c>
      <c r="H6" s="13">
        <v>11408903</v>
      </c>
      <c r="I6" s="13">
        <v>13392573</v>
      </c>
      <c r="J6" s="13">
        <v>11989637</v>
      </c>
      <c r="K6" s="13">
        <v>10440316</v>
      </c>
      <c r="L6" s="13">
        <v>14467510</v>
      </c>
      <c r="M6" s="13">
        <v>14238737</v>
      </c>
      <c r="N6" s="13">
        <v>16010895</v>
      </c>
    </row>
    <row r="7" spans="1:14" ht="23.25" customHeight="1" x14ac:dyDescent="0.25">
      <c r="A7" s="26"/>
      <c r="B7" s="10" t="s">
        <v>15</v>
      </c>
      <c r="C7" s="2"/>
      <c r="D7" s="2"/>
      <c r="E7" s="2"/>
      <c r="F7" s="2"/>
      <c r="G7" s="2"/>
      <c r="H7" s="2"/>
      <c r="I7" s="2"/>
      <c r="J7" s="13"/>
      <c r="K7" s="2"/>
      <c r="L7" s="2"/>
      <c r="M7" s="2"/>
      <c r="N7" s="13"/>
    </row>
    <row r="8" spans="1:14" ht="21.75" customHeight="1" x14ac:dyDescent="0.25">
      <c r="A8" s="26"/>
      <c r="B8" s="10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6.25" customHeight="1" x14ac:dyDescent="0.25">
      <c r="A9" s="26"/>
      <c r="B9" s="10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6"/>
      <c r="B10" s="21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3.25" customHeight="1" x14ac:dyDescent="0.25">
      <c r="A11" s="26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4.75" customHeight="1" x14ac:dyDescent="0.25">
      <c r="A12" s="27"/>
      <c r="B12" s="11" t="s">
        <v>18</v>
      </c>
      <c r="C12" s="9">
        <f>SUM(C5:C9,C11)</f>
        <v>273976261</v>
      </c>
      <c r="D12" s="9">
        <f>SUM(D5:D9,D11)</f>
        <v>251590426</v>
      </c>
      <c r="E12" s="9">
        <f>SUM(E5:E9,E11)</f>
        <v>266145895</v>
      </c>
      <c r="F12" s="9">
        <f t="shared" ref="F12:N12" si="0">SUM(F5:F9,F11)</f>
        <v>242300089</v>
      </c>
      <c r="G12" s="9">
        <f t="shared" si="0"/>
        <v>247653915</v>
      </c>
      <c r="H12" s="9">
        <f t="shared" si="0"/>
        <v>232407971</v>
      </c>
      <c r="I12" s="9">
        <f t="shared" si="0"/>
        <v>238729451</v>
      </c>
      <c r="J12" s="9">
        <f t="shared" si="0"/>
        <v>232388341</v>
      </c>
      <c r="K12" s="9">
        <f t="shared" si="0"/>
        <v>225323336</v>
      </c>
      <c r="L12" s="9">
        <f t="shared" si="0"/>
        <v>250264535</v>
      </c>
      <c r="M12" s="9">
        <f t="shared" si="0"/>
        <v>254251424</v>
      </c>
      <c r="N12" s="9">
        <f t="shared" si="0"/>
        <v>264230017</v>
      </c>
    </row>
    <row r="13" spans="1:14" x14ac:dyDescent="0.25">
      <c r="A13" s="23" t="s">
        <v>18</v>
      </c>
      <c r="B13" s="24"/>
      <c r="C13" s="9">
        <f>C12</f>
        <v>273976261</v>
      </c>
      <c r="D13" s="9">
        <f t="shared" ref="D13:N13" si="1">D12</f>
        <v>251590426</v>
      </c>
      <c r="E13" s="9">
        <f t="shared" si="1"/>
        <v>266145895</v>
      </c>
      <c r="F13" s="9">
        <f t="shared" si="1"/>
        <v>242300089</v>
      </c>
      <c r="G13" s="9">
        <f t="shared" si="1"/>
        <v>247653915</v>
      </c>
      <c r="H13" s="9">
        <f t="shared" si="1"/>
        <v>232407971</v>
      </c>
      <c r="I13" s="9">
        <f t="shared" si="1"/>
        <v>238729451</v>
      </c>
      <c r="J13" s="9">
        <f t="shared" si="1"/>
        <v>232388341</v>
      </c>
      <c r="K13" s="9">
        <f t="shared" si="1"/>
        <v>225323336</v>
      </c>
      <c r="L13" s="9">
        <f t="shared" si="1"/>
        <v>250264535</v>
      </c>
      <c r="M13" s="9">
        <f t="shared" si="1"/>
        <v>254251424</v>
      </c>
      <c r="N13" s="9">
        <f t="shared" si="1"/>
        <v>264230017</v>
      </c>
    </row>
  </sheetData>
  <mergeCells count="5">
    <mergeCell ref="A2:N2"/>
    <mergeCell ref="A4:A12"/>
    <mergeCell ref="B4:N4"/>
    <mergeCell ref="B10:N10"/>
    <mergeCell ref="A13:B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E6" sqref="E6"/>
    </sheetView>
  </sheetViews>
  <sheetFormatPr defaultRowHeight="15" x14ac:dyDescent="0.25"/>
  <cols>
    <col min="1" max="1" width="21.42578125" customWidth="1"/>
    <col min="2" max="2" width="15.140625" customWidth="1"/>
    <col min="3" max="14" width="21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8.5" x14ac:dyDescent="0.25">
      <c r="A3" s="3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4" x14ac:dyDescent="0.25">
      <c r="A4" s="25" t="s">
        <v>35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1.75" customHeight="1" x14ac:dyDescent="0.25">
      <c r="A5" s="26"/>
      <c r="B5" s="10" t="s">
        <v>19</v>
      </c>
      <c r="C5" s="13">
        <v>258009232</v>
      </c>
      <c r="D5" s="13">
        <v>243961130</v>
      </c>
      <c r="E5" s="13">
        <v>250241710</v>
      </c>
      <c r="F5" s="13"/>
      <c r="G5" s="8"/>
      <c r="H5" s="8"/>
      <c r="I5" s="8"/>
      <c r="J5" s="13"/>
      <c r="K5" s="13"/>
      <c r="L5" s="13"/>
      <c r="M5" s="13"/>
      <c r="N5" s="13"/>
    </row>
    <row r="6" spans="1:14" ht="23.25" customHeight="1" x14ac:dyDescent="0.25">
      <c r="A6" s="26"/>
      <c r="B6" s="10" t="s">
        <v>14</v>
      </c>
      <c r="C6" s="13">
        <v>15970240</v>
      </c>
      <c r="D6" s="13">
        <v>15033630</v>
      </c>
      <c r="E6" s="13">
        <v>15354474</v>
      </c>
      <c r="F6" s="13"/>
      <c r="G6" s="13"/>
      <c r="H6" s="13"/>
      <c r="I6" s="13"/>
      <c r="J6" s="13"/>
      <c r="K6" s="13"/>
      <c r="L6" s="13"/>
      <c r="M6" s="13"/>
      <c r="N6" s="13"/>
    </row>
    <row r="7" spans="1:14" ht="23.25" customHeight="1" x14ac:dyDescent="0.25">
      <c r="A7" s="26"/>
      <c r="B7" s="10" t="s">
        <v>15</v>
      </c>
      <c r="C7" s="2"/>
      <c r="D7" s="2"/>
      <c r="E7" s="2"/>
      <c r="F7" s="2"/>
      <c r="G7" s="2"/>
      <c r="H7" s="2"/>
      <c r="I7" s="2"/>
      <c r="J7" s="13"/>
      <c r="K7" s="2"/>
      <c r="L7" s="2"/>
      <c r="M7" s="2"/>
      <c r="N7" s="13"/>
    </row>
    <row r="8" spans="1:14" ht="21.75" customHeight="1" x14ac:dyDescent="0.25">
      <c r="A8" s="26"/>
      <c r="B8" s="10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6.25" customHeight="1" x14ac:dyDescent="0.25">
      <c r="A9" s="26"/>
      <c r="B9" s="10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6"/>
      <c r="B10" s="21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3.25" customHeight="1" x14ac:dyDescent="0.25">
      <c r="A11" s="26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4.75" customHeight="1" x14ac:dyDescent="0.25">
      <c r="A12" s="27"/>
      <c r="B12" s="11" t="s">
        <v>18</v>
      </c>
      <c r="C12" s="9">
        <f>SUM(C5:C9,C11)</f>
        <v>273979472</v>
      </c>
      <c r="D12" s="9">
        <f>SUM(D5:D9,D11)</f>
        <v>258994760</v>
      </c>
      <c r="E12" s="9">
        <f>SUM(E5:E9,E11)</f>
        <v>265596184</v>
      </c>
      <c r="F12" s="9">
        <f t="shared" ref="F12:N12" si="0">SUM(F5:F9,F11)</f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</row>
    <row r="13" spans="1:14" x14ac:dyDescent="0.25">
      <c r="A13" s="23" t="s">
        <v>18</v>
      </c>
      <c r="B13" s="24"/>
      <c r="C13" s="9">
        <f>C12</f>
        <v>273979472</v>
      </c>
      <c r="D13" s="9">
        <f t="shared" ref="D13:N13" si="1">D12</f>
        <v>258994760</v>
      </c>
      <c r="E13" s="9">
        <f t="shared" si="1"/>
        <v>265596184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</row>
  </sheetData>
  <mergeCells count="5">
    <mergeCell ref="A2:N2"/>
    <mergeCell ref="A4:A12"/>
    <mergeCell ref="B4:N4"/>
    <mergeCell ref="B10:N10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topLeftCell="D1" workbookViewId="0">
      <selection activeCell="A3" sqref="A3:N13"/>
    </sheetView>
  </sheetViews>
  <sheetFormatPr defaultColWidth="9.140625" defaultRowHeight="22.5" customHeight="1" x14ac:dyDescent="0.25"/>
  <cols>
    <col min="1" max="1" width="33.140625" style="1" customWidth="1"/>
    <col min="2" max="2" width="14.85546875" style="1" customWidth="1"/>
    <col min="3" max="3" width="18.140625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s="4" customFormat="1" ht="42.75" customHeight="1" x14ac:dyDescent="0.2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7" customFormat="1" ht="33" customHeight="1" x14ac:dyDescent="0.25">
      <c r="A3" s="3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4" s="7" customFormat="1" ht="33" customHeight="1" x14ac:dyDescent="0.25">
      <c r="A4" s="25" t="s">
        <v>25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s="7" customFormat="1" ht="24" customHeight="1" x14ac:dyDescent="0.25">
      <c r="A5" s="26"/>
      <c r="B5" s="10" t="s">
        <v>19</v>
      </c>
      <c r="C5" s="13">
        <v>226128635</v>
      </c>
      <c r="D5" s="13">
        <v>205989703</v>
      </c>
      <c r="E5" s="13">
        <v>220999888</v>
      </c>
      <c r="F5" s="13">
        <v>201364413</v>
      </c>
      <c r="G5" s="13">
        <v>217318728</v>
      </c>
      <c r="H5" s="13">
        <v>206629539</v>
      </c>
      <c r="I5" s="13">
        <v>206385273</v>
      </c>
      <c r="J5" s="13">
        <v>201379925</v>
      </c>
      <c r="K5" s="13">
        <v>197172496</v>
      </c>
      <c r="L5" s="13">
        <v>210424608</v>
      </c>
      <c r="M5" s="13">
        <v>213289114</v>
      </c>
      <c r="N5" s="13">
        <v>227490648</v>
      </c>
    </row>
    <row r="6" spans="1:14" ht="22.5" customHeight="1" x14ac:dyDescent="0.25">
      <c r="A6" s="26"/>
      <c r="B6" s="10" t="s">
        <v>14</v>
      </c>
      <c r="C6" s="8">
        <v>5902038</v>
      </c>
      <c r="D6" s="13">
        <v>4981046</v>
      </c>
      <c r="E6" s="13">
        <v>4739559</v>
      </c>
      <c r="F6" s="13">
        <v>4424465</v>
      </c>
      <c r="G6" s="13">
        <v>4076185</v>
      </c>
      <c r="H6" s="13">
        <v>3885431</v>
      </c>
      <c r="I6" s="13">
        <v>4414992</v>
      </c>
      <c r="J6" s="13">
        <v>3587019</v>
      </c>
      <c r="K6" s="13">
        <v>3298200</v>
      </c>
      <c r="L6" s="13">
        <v>3020210</v>
      </c>
      <c r="M6" s="13">
        <v>3333213</v>
      </c>
      <c r="N6" s="13">
        <v>4802507</v>
      </c>
    </row>
    <row r="7" spans="1:14" ht="22.5" customHeight="1" x14ac:dyDescent="0.25">
      <c r="A7" s="26"/>
      <c r="B7" s="10" t="s">
        <v>15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2.5" customHeight="1" x14ac:dyDescent="0.25">
      <c r="A8" s="26"/>
      <c r="B8" s="10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6"/>
      <c r="B9" s="10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2.5" customHeight="1" x14ac:dyDescent="0.25">
      <c r="A10" s="26"/>
      <c r="B10" s="21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2.5" customHeight="1" x14ac:dyDescent="0.25">
      <c r="A11" s="26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2.5" customHeight="1" x14ac:dyDescent="0.25">
      <c r="A12" s="27"/>
      <c r="B12" s="11" t="s">
        <v>18</v>
      </c>
      <c r="C12" s="8">
        <f>SUM(C5:C9,C11)</f>
        <v>232030673</v>
      </c>
      <c r="D12" s="8">
        <f>SUM(D5:D9,D11)</f>
        <v>210970749</v>
      </c>
      <c r="E12" s="8">
        <f>SUM(E5:E9,E11)</f>
        <v>225739447</v>
      </c>
      <c r="F12" s="8">
        <f t="shared" ref="F12:N12" si="0">SUM(F5:F9,F11)</f>
        <v>205788878</v>
      </c>
      <c r="G12" s="8">
        <f t="shared" si="0"/>
        <v>221394913</v>
      </c>
      <c r="H12" s="8">
        <f t="shared" si="0"/>
        <v>210514970</v>
      </c>
      <c r="I12" s="8">
        <f t="shared" si="0"/>
        <v>210800265</v>
      </c>
      <c r="J12" s="8">
        <f t="shared" si="0"/>
        <v>204966944</v>
      </c>
      <c r="K12" s="8">
        <f t="shared" si="0"/>
        <v>200470696</v>
      </c>
      <c r="L12" s="8">
        <f t="shared" si="0"/>
        <v>213444818</v>
      </c>
      <c r="M12" s="8">
        <f t="shared" si="0"/>
        <v>216622327</v>
      </c>
      <c r="N12" s="8">
        <f t="shared" si="0"/>
        <v>232293155</v>
      </c>
    </row>
    <row r="13" spans="1:14" ht="22.5" customHeight="1" x14ac:dyDescent="0.25">
      <c r="A13" s="23" t="s">
        <v>18</v>
      </c>
      <c r="B13" s="24"/>
      <c r="C13" s="9">
        <f>C12</f>
        <v>232030673</v>
      </c>
      <c r="D13" s="9">
        <f t="shared" ref="D13:N13" si="1">D12</f>
        <v>210970749</v>
      </c>
      <c r="E13" s="9">
        <f t="shared" si="1"/>
        <v>225739447</v>
      </c>
      <c r="F13" s="9">
        <f t="shared" si="1"/>
        <v>205788878</v>
      </c>
      <c r="G13" s="9">
        <f t="shared" si="1"/>
        <v>221394913</v>
      </c>
      <c r="H13" s="9">
        <f t="shared" si="1"/>
        <v>210514970</v>
      </c>
      <c r="I13" s="9">
        <f t="shared" si="1"/>
        <v>210800265</v>
      </c>
      <c r="J13" s="9">
        <f t="shared" si="1"/>
        <v>204966944</v>
      </c>
      <c r="K13" s="9">
        <f t="shared" si="1"/>
        <v>200470696</v>
      </c>
      <c r="L13" s="9">
        <f t="shared" si="1"/>
        <v>213444818</v>
      </c>
      <c r="M13" s="9">
        <f t="shared" si="1"/>
        <v>216622327</v>
      </c>
      <c r="N13" s="9">
        <f t="shared" si="1"/>
        <v>232293155</v>
      </c>
    </row>
  </sheetData>
  <mergeCells count="5">
    <mergeCell ref="B10:N10"/>
    <mergeCell ref="A13:B13"/>
    <mergeCell ref="B4:N4"/>
    <mergeCell ref="A4:A12"/>
    <mergeCell ref="A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topLeftCell="D1" zoomScaleNormal="100" workbookViewId="0">
      <selection activeCell="J19" sqref="J18:N1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s="4" customFormat="1" ht="42.75" customHeight="1" x14ac:dyDescent="0.2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7" customFormat="1" ht="33" customHeight="1" x14ac:dyDescent="0.25">
      <c r="A3" s="3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4" ht="22.5" customHeight="1" x14ac:dyDescent="0.25">
      <c r="A4" s="25" t="s">
        <v>25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26"/>
      <c r="B5" s="10" t="s">
        <v>19</v>
      </c>
      <c r="C5" s="13">
        <v>220906739</v>
      </c>
      <c r="D5" s="13">
        <v>200658231</v>
      </c>
      <c r="E5" s="13">
        <v>217914151</v>
      </c>
      <c r="F5" s="13">
        <v>203434844</v>
      </c>
      <c r="G5" s="13">
        <v>205758935</v>
      </c>
      <c r="H5" s="13">
        <v>199115192</v>
      </c>
      <c r="I5" s="13">
        <v>201922803</v>
      </c>
      <c r="J5" s="13">
        <v>203686994</v>
      </c>
      <c r="K5" s="13">
        <v>201115535</v>
      </c>
      <c r="L5" s="13">
        <f>9576691+210362604</f>
        <v>219939295</v>
      </c>
      <c r="M5" s="13">
        <f>216618177+8897862</f>
        <v>225516039</v>
      </c>
      <c r="N5" s="13">
        <f>219937167+9027522</f>
        <v>228964689</v>
      </c>
    </row>
    <row r="6" spans="1:14" ht="22.5" customHeight="1" x14ac:dyDescent="0.25">
      <c r="A6" s="26"/>
      <c r="B6" s="10" t="s">
        <v>14</v>
      </c>
      <c r="C6" s="8">
        <v>3722508</v>
      </c>
      <c r="D6" s="13">
        <v>3967240</v>
      </c>
      <c r="E6" s="13">
        <v>3447063</v>
      </c>
      <c r="F6" s="13">
        <v>4112022</v>
      </c>
      <c r="G6" s="13">
        <v>3403846</v>
      </c>
      <c r="H6" s="13">
        <v>3639115</v>
      </c>
      <c r="I6" s="13">
        <v>3941851</v>
      </c>
      <c r="J6" s="13">
        <v>3353459</v>
      </c>
      <c r="K6" s="13">
        <v>3578577</v>
      </c>
      <c r="L6" s="13">
        <v>3405291</v>
      </c>
      <c r="M6" s="13">
        <v>3523218</v>
      </c>
      <c r="N6" s="13">
        <v>4187534</v>
      </c>
    </row>
    <row r="7" spans="1:14" ht="22.5" customHeight="1" x14ac:dyDescent="0.25">
      <c r="A7" s="26"/>
      <c r="B7" s="10" t="s">
        <v>15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2.5" customHeight="1" x14ac:dyDescent="0.25">
      <c r="A8" s="26"/>
      <c r="B8" s="10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6"/>
      <c r="B9" s="10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2.5" customHeight="1" x14ac:dyDescent="0.25">
      <c r="A10" s="26"/>
      <c r="B10" s="21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2.5" customHeight="1" x14ac:dyDescent="0.25">
      <c r="A11" s="26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2.5" customHeight="1" x14ac:dyDescent="0.25">
      <c r="A12" s="27"/>
      <c r="B12" s="11" t="s">
        <v>18</v>
      </c>
      <c r="C12" s="8">
        <f>SUM(C5:C9,C11)</f>
        <v>224629247</v>
      </c>
      <c r="D12" s="8">
        <f>SUM(D5:D9,D11)</f>
        <v>204625471</v>
      </c>
      <c r="E12" s="8">
        <f>SUM(E5:E9,E11)</f>
        <v>221361214</v>
      </c>
      <c r="F12" s="8">
        <f t="shared" ref="F12:N12" si="0">SUM(F5:F9,F11)</f>
        <v>207546866</v>
      </c>
      <c r="G12" s="8">
        <f t="shared" si="0"/>
        <v>209162781</v>
      </c>
      <c r="H12" s="8">
        <f t="shared" si="0"/>
        <v>202754307</v>
      </c>
      <c r="I12" s="8">
        <f t="shared" si="0"/>
        <v>205864654</v>
      </c>
      <c r="J12" s="8">
        <f t="shared" si="0"/>
        <v>207040453</v>
      </c>
      <c r="K12" s="14">
        <f t="shared" si="0"/>
        <v>204694112</v>
      </c>
      <c r="L12" s="8">
        <f t="shared" si="0"/>
        <v>223344586</v>
      </c>
      <c r="M12" s="8">
        <f t="shared" si="0"/>
        <v>229039257</v>
      </c>
      <c r="N12" s="8">
        <f t="shared" si="0"/>
        <v>233152223</v>
      </c>
    </row>
    <row r="13" spans="1:14" ht="22.5" customHeight="1" x14ac:dyDescent="0.25">
      <c r="A13" s="23" t="s">
        <v>18</v>
      </c>
      <c r="B13" s="24"/>
      <c r="C13" s="9">
        <f>C12</f>
        <v>224629247</v>
      </c>
      <c r="D13" s="9">
        <f t="shared" ref="D13:N13" si="1">D12</f>
        <v>204625471</v>
      </c>
      <c r="E13" s="9">
        <f t="shared" si="1"/>
        <v>221361214</v>
      </c>
      <c r="F13" s="9">
        <f t="shared" si="1"/>
        <v>207546866</v>
      </c>
      <c r="G13" s="9">
        <f t="shared" si="1"/>
        <v>209162781</v>
      </c>
      <c r="H13" s="9">
        <f t="shared" si="1"/>
        <v>202754307</v>
      </c>
      <c r="I13" s="9">
        <f t="shared" si="1"/>
        <v>205864654</v>
      </c>
      <c r="J13" s="9">
        <f t="shared" si="1"/>
        <v>207040453</v>
      </c>
      <c r="K13" s="9">
        <f t="shared" si="1"/>
        <v>204694112</v>
      </c>
      <c r="L13" s="9">
        <f t="shared" si="1"/>
        <v>223344586</v>
      </c>
      <c r="M13" s="9">
        <f t="shared" si="1"/>
        <v>229039257</v>
      </c>
      <c r="N13" s="9">
        <f t="shared" si="1"/>
        <v>233152223</v>
      </c>
    </row>
  </sheetData>
  <mergeCells count="5">
    <mergeCell ref="A4:A12"/>
    <mergeCell ref="B4:N4"/>
    <mergeCell ref="B10:N10"/>
    <mergeCell ref="A13:B13"/>
    <mergeCell ref="A2:N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zoomScale="70" zoomScaleNormal="70" workbookViewId="0">
      <selection activeCell="E30" sqref="E3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s="4" customFormat="1" ht="42.75" customHeight="1" x14ac:dyDescent="0.2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7" customFormat="1" ht="33" customHeight="1" x14ac:dyDescent="0.25">
      <c r="A3" s="3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4" ht="22.5" customHeight="1" x14ac:dyDescent="0.25">
      <c r="A4" s="25" t="s">
        <v>27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2.5" customHeight="1" x14ac:dyDescent="0.25">
      <c r="A5" s="26"/>
      <c r="B5" s="10" t="s">
        <v>19</v>
      </c>
      <c r="C5" s="13">
        <f>216999880+8279721</f>
        <v>225279601</v>
      </c>
      <c r="D5" s="13">
        <f>8366537+212445767</f>
        <v>220812304</v>
      </c>
      <c r="E5" s="13">
        <f>9060596+225163230</f>
        <v>234223826</v>
      </c>
      <c r="F5" s="13">
        <v>226111412</v>
      </c>
      <c r="G5" s="13">
        <v>225824052</v>
      </c>
      <c r="H5" s="13">
        <v>209063492</v>
      </c>
      <c r="I5" s="13">
        <v>214545029</v>
      </c>
      <c r="J5" s="13">
        <f>212129490+8965722</f>
        <v>221095212</v>
      </c>
      <c r="K5" s="13">
        <f>199012113+8422712</f>
        <v>207434825</v>
      </c>
      <c r="L5" s="13">
        <f>220471494+9032899</f>
        <v>229504393</v>
      </c>
      <c r="M5" s="13">
        <f>230480884+9471927</f>
        <v>239952811</v>
      </c>
      <c r="N5" s="13">
        <v>255263159</v>
      </c>
    </row>
    <row r="6" spans="1:14" ht="22.5" customHeight="1" x14ac:dyDescent="0.25">
      <c r="A6" s="26"/>
      <c r="B6" s="10" t="s">
        <v>14</v>
      </c>
      <c r="C6" s="8">
        <v>4120001</v>
      </c>
      <c r="D6" s="13">
        <v>4304338</v>
      </c>
      <c r="E6" s="13">
        <v>3667849</v>
      </c>
      <c r="F6" s="13">
        <v>3276601</v>
      </c>
      <c r="G6" s="13">
        <v>3157699</v>
      </c>
      <c r="H6" s="13">
        <v>3984540</v>
      </c>
      <c r="I6" s="13">
        <v>3459181</v>
      </c>
      <c r="J6" s="13">
        <v>2917495</v>
      </c>
      <c r="K6" s="13">
        <v>4871568</v>
      </c>
      <c r="L6" s="13">
        <v>5555860</v>
      </c>
      <c r="M6" s="13">
        <v>6127487</v>
      </c>
      <c r="N6" s="13">
        <v>6795916</v>
      </c>
    </row>
    <row r="7" spans="1:14" ht="22.5" customHeight="1" x14ac:dyDescent="0.25">
      <c r="A7" s="26"/>
      <c r="B7" s="10" t="s">
        <v>15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2.5" customHeight="1" x14ac:dyDescent="0.25">
      <c r="A8" s="26"/>
      <c r="B8" s="10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 x14ac:dyDescent="0.25">
      <c r="A9" s="26"/>
      <c r="B9" s="10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2.5" customHeight="1" x14ac:dyDescent="0.25">
      <c r="A10" s="26"/>
      <c r="B10" s="21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2.5" customHeight="1" x14ac:dyDescent="0.25">
      <c r="A11" s="26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2.5" customHeight="1" x14ac:dyDescent="0.25">
      <c r="A12" s="27"/>
      <c r="B12" s="11" t="s">
        <v>18</v>
      </c>
      <c r="C12" s="8">
        <f>SUM(C5:C9,C11)</f>
        <v>229399602</v>
      </c>
      <c r="D12" s="8">
        <f>SUM(D5:D9,D11)</f>
        <v>225116642</v>
      </c>
      <c r="E12" s="8">
        <f>SUM(E5:E9,E11)</f>
        <v>237891675</v>
      </c>
      <c r="F12" s="8">
        <f t="shared" ref="F12:N12" si="0">SUM(F5:F9,F11)</f>
        <v>229388013</v>
      </c>
      <c r="G12" s="8">
        <f>SUM(G5:G9,G11)</f>
        <v>228981751</v>
      </c>
      <c r="H12" s="8">
        <f t="shared" si="0"/>
        <v>213048032</v>
      </c>
      <c r="I12" s="8">
        <f t="shared" si="0"/>
        <v>218004210</v>
      </c>
      <c r="J12" s="8">
        <f t="shared" si="0"/>
        <v>224012707</v>
      </c>
      <c r="K12" s="14">
        <f t="shared" si="0"/>
        <v>212306393</v>
      </c>
      <c r="L12" s="8">
        <f t="shared" si="0"/>
        <v>235060253</v>
      </c>
      <c r="M12" s="8">
        <f t="shared" si="0"/>
        <v>246080298</v>
      </c>
      <c r="N12" s="8">
        <f t="shared" si="0"/>
        <v>262059075</v>
      </c>
    </row>
    <row r="13" spans="1:14" ht="22.5" customHeight="1" x14ac:dyDescent="0.25">
      <c r="A13" s="23" t="s">
        <v>18</v>
      </c>
      <c r="B13" s="24"/>
      <c r="C13" s="9">
        <f>C12</f>
        <v>229399602</v>
      </c>
      <c r="D13" s="9">
        <f t="shared" ref="D13:N13" si="1">D12</f>
        <v>225116642</v>
      </c>
      <c r="E13" s="9">
        <f t="shared" si="1"/>
        <v>237891675</v>
      </c>
      <c r="F13" s="9">
        <f t="shared" si="1"/>
        <v>229388013</v>
      </c>
      <c r="G13" s="9">
        <f t="shared" si="1"/>
        <v>228981751</v>
      </c>
      <c r="H13" s="9">
        <f t="shared" si="1"/>
        <v>213048032</v>
      </c>
      <c r="I13" s="9">
        <f t="shared" si="1"/>
        <v>218004210</v>
      </c>
      <c r="J13" s="9">
        <f t="shared" si="1"/>
        <v>224012707</v>
      </c>
      <c r="K13" s="9">
        <f t="shared" si="1"/>
        <v>212306393</v>
      </c>
      <c r="L13" s="9">
        <f t="shared" si="1"/>
        <v>235060253</v>
      </c>
      <c r="M13" s="9">
        <f t="shared" si="1"/>
        <v>246080298</v>
      </c>
      <c r="N13" s="9">
        <f t="shared" si="1"/>
        <v>262059075</v>
      </c>
    </row>
  </sheetData>
  <mergeCells count="5">
    <mergeCell ref="A2:N2"/>
    <mergeCell ref="A4:A12"/>
    <mergeCell ref="B4:N4"/>
    <mergeCell ref="B10:N10"/>
    <mergeCell ref="A13:B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70" zoomScaleNormal="70" workbookViewId="0">
      <selection activeCell="H31" sqref="H31"/>
    </sheetView>
  </sheetViews>
  <sheetFormatPr defaultRowHeight="15" x14ac:dyDescent="0.25"/>
  <cols>
    <col min="1" max="1" width="21.42578125" customWidth="1"/>
    <col min="2" max="2" width="15.140625" customWidth="1"/>
    <col min="3" max="3" width="17.140625" customWidth="1"/>
    <col min="4" max="4" width="15.42578125" customWidth="1"/>
    <col min="5" max="5" width="18" customWidth="1"/>
    <col min="6" max="6" width="18.5703125" customWidth="1"/>
    <col min="7" max="7" width="18.28515625" customWidth="1"/>
    <col min="8" max="8" width="16" customWidth="1"/>
    <col min="9" max="9" width="17" customWidth="1"/>
    <col min="10" max="10" width="16" customWidth="1"/>
    <col min="11" max="11" width="16.28515625" customWidth="1"/>
    <col min="12" max="12" width="17.7109375" customWidth="1"/>
    <col min="13" max="13" width="18.28515625" customWidth="1"/>
    <col min="14" max="14" width="21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8.5" x14ac:dyDescent="0.25">
      <c r="A3" s="3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4" x14ac:dyDescent="0.25">
      <c r="A4" s="25" t="s">
        <v>27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1.75" customHeight="1" x14ac:dyDescent="0.25">
      <c r="A5" s="26"/>
      <c r="B5" s="10" t="s">
        <v>19</v>
      </c>
      <c r="C5" s="13">
        <f>9220448+241711096</f>
        <v>250931544</v>
      </c>
      <c r="D5" s="13">
        <f>8427146+209238525</f>
        <v>217665671</v>
      </c>
      <c r="E5" s="13">
        <f>238290148+10400356</f>
        <v>248690504</v>
      </c>
      <c r="F5" s="13">
        <f>223271123+9264331</f>
        <v>232535454</v>
      </c>
      <c r="G5" s="13">
        <v>229173960</v>
      </c>
      <c r="H5" s="13">
        <f>8893634+203479279</f>
        <v>212372913</v>
      </c>
      <c r="I5" s="13">
        <v>220894057</v>
      </c>
      <c r="J5" s="13">
        <f>213918818</f>
        <v>213918818</v>
      </c>
      <c r="K5" s="13">
        <v>218043662</v>
      </c>
      <c r="L5" s="13">
        <v>237874135</v>
      </c>
      <c r="M5" s="13">
        <v>242790556</v>
      </c>
      <c r="N5" s="13">
        <v>253450746</v>
      </c>
    </row>
    <row r="6" spans="1:14" ht="23.25" customHeight="1" x14ac:dyDescent="0.25">
      <c r="A6" s="26"/>
      <c r="B6" s="10" t="s">
        <v>14</v>
      </c>
      <c r="C6" s="8">
        <f>6495911+8176695+4156062</f>
        <v>18828668</v>
      </c>
      <c r="D6" s="8">
        <f>5447954+7802119+3922805</f>
        <v>17172878</v>
      </c>
      <c r="E6" s="13">
        <f>6159883+7827315+3850518</f>
        <v>17837716</v>
      </c>
      <c r="F6" s="13">
        <f>5410332+6610178+4432343</f>
        <v>16452853</v>
      </c>
      <c r="G6" s="13">
        <f>5574339+8313661+3140859</f>
        <v>17028859</v>
      </c>
      <c r="H6" s="13">
        <f>4695519+7021698+2547398</f>
        <v>14264615</v>
      </c>
      <c r="I6" s="13">
        <f>4861537+7084391+2946075</f>
        <v>14892003</v>
      </c>
      <c r="J6" s="13">
        <f>5060518+7464111+2922412</f>
        <v>15447041</v>
      </c>
      <c r="K6" s="13">
        <f>4782173+7001555+3346085</f>
        <v>15129813</v>
      </c>
      <c r="L6" s="13">
        <v>17204393</v>
      </c>
      <c r="M6" s="13">
        <f>13265908+4056458</f>
        <v>17322366</v>
      </c>
      <c r="N6" s="13">
        <v>14401753</v>
      </c>
    </row>
    <row r="7" spans="1:14" ht="23.25" customHeight="1" x14ac:dyDescent="0.25">
      <c r="A7" s="26"/>
      <c r="B7" s="10" t="s">
        <v>15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1.75" customHeight="1" x14ac:dyDescent="0.25">
      <c r="A8" s="26"/>
      <c r="B8" s="10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6.25" customHeight="1" x14ac:dyDescent="0.25">
      <c r="A9" s="26"/>
      <c r="B9" s="10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6"/>
      <c r="B10" s="21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3.25" customHeight="1" x14ac:dyDescent="0.25">
      <c r="A11" s="26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4.75" customHeight="1" x14ac:dyDescent="0.25">
      <c r="A12" s="27"/>
      <c r="B12" s="11" t="s">
        <v>18</v>
      </c>
      <c r="C12" s="8">
        <f>SUM(C5:C9,C11)</f>
        <v>269760212</v>
      </c>
      <c r="D12" s="8">
        <f>SUM(D5:D9,D11)</f>
        <v>234838549</v>
      </c>
      <c r="E12" s="8">
        <f>SUM(E5:E9,E11)</f>
        <v>266528220</v>
      </c>
      <c r="F12" s="8">
        <f t="shared" ref="F12:N12" si="0">SUM(F5:F9,F11)</f>
        <v>248988307</v>
      </c>
      <c r="G12" s="8">
        <f t="shared" ref="G12" si="1">SUM(G5:G9,G11)</f>
        <v>246202819</v>
      </c>
      <c r="H12" s="8">
        <f t="shared" si="0"/>
        <v>226637528</v>
      </c>
      <c r="I12" s="8">
        <f t="shared" ref="I12:J12" si="2">SUM(I5:I9,I11)</f>
        <v>235786060</v>
      </c>
      <c r="J12" s="8">
        <f t="shared" si="2"/>
        <v>229365859</v>
      </c>
      <c r="K12" s="14">
        <f t="shared" si="0"/>
        <v>233173475</v>
      </c>
      <c r="L12" s="8">
        <f t="shared" si="0"/>
        <v>255078528</v>
      </c>
      <c r="M12" s="8">
        <f t="shared" si="0"/>
        <v>260112922</v>
      </c>
      <c r="N12" s="8">
        <f t="shared" si="0"/>
        <v>267852499</v>
      </c>
    </row>
    <row r="13" spans="1:14" x14ac:dyDescent="0.25">
      <c r="A13" s="23" t="s">
        <v>18</v>
      </c>
      <c r="B13" s="24"/>
      <c r="C13" s="9">
        <f>C12</f>
        <v>269760212</v>
      </c>
      <c r="D13" s="9">
        <f t="shared" ref="D13:N13" si="3">D12</f>
        <v>234838549</v>
      </c>
      <c r="E13" s="9">
        <f t="shared" si="3"/>
        <v>266528220</v>
      </c>
      <c r="F13" s="9">
        <f t="shared" si="3"/>
        <v>248988307</v>
      </c>
      <c r="G13" s="9">
        <f t="shared" ref="G13" si="4">G12</f>
        <v>246202819</v>
      </c>
      <c r="H13" s="9">
        <f t="shared" si="3"/>
        <v>226637528</v>
      </c>
      <c r="I13" s="9">
        <f t="shared" ref="I13:J13" si="5">I12</f>
        <v>235786060</v>
      </c>
      <c r="J13" s="9">
        <f t="shared" si="5"/>
        <v>229365859</v>
      </c>
      <c r="K13" s="9">
        <f t="shared" si="3"/>
        <v>233173475</v>
      </c>
      <c r="L13" s="9">
        <f t="shared" si="3"/>
        <v>255078528</v>
      </c>
      <c r="M13" s="9">
        <f t="shared" si="3"/>
        <v>260112922</v>
      </c>
      <c r="N13" s="9">
        <f t="shared" si="3"/>
        <v>267852499</v>
      </c>
    </row>
  </sheetData>
  <mergeCells count="5">
    <mergeCell ref="A2:N2"/>
    <mergeCell ref="A4:A12"/>
    <mergeCell ref="B4:N4"/>
    <mergeCell ref="B10:N10"/>
    <mergeCell ref="A13:B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70" zoomScaleNormal="70" workbookViewId="0">
      <selection activeCell="R12" sqref="R12"/>
    </sheetView>
  </sheetViews>
  <sheetFormatPr defaultRowHeight="15" x14ac:dyDescent="0.25"/>
  <cols>
    <col min="1" max="1" width="21.42578125" customWidth="1"/>
    <col min="2" max="2" width="15.140625" customWidth="1"/>
    <col min="3" max="3" width="17.140625" customWidth="1"/>
    <col min="4" max="4" width="15.42578125" customWidth="1"/>
    <col min="5" max="5" width="18" customWidth="1"/>
    <col min="6" max="6" width="18.5703125" customWidth="1"/>
    <col min="7" max="7" width="18.28515625" customWidth="1"/>
    <col min="8" max="8" width="16" customWidth="1"/>
    <col min="9" max="9" width="17" customWidth="1"/>
    <col min="10" max="10" width="16" customWidth="1"/>
    <col min="11" max="11" width="16.28515625" customWidth="1"/>
    <col min="12" max="12" width="17.7109375" customWidth="1"/>
    <col min="13" max="13" width="18.28515625" customWidth="1"/>
    <col min="14" max="14" width="21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8.5" x14ac:dyDescent="0.25">
      <c r="A3" s="3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4" x14ac:dyDescent="0.25">
      <c r="A4" s="25" t="s">
        <v>27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21.75" customHeight="1" x14ac:dyDescent="0.25">
      <c r="A5" s="26"/>
      <c r="B5" s="10" t="s">
        <v>19</v>
      </c>
      <c r="C5" s="13">
        <v>255616647</v>
      </c>
      <c r="D5" s="13">
        <v>217752940</v>
      </c>
      <c r="E5" s="13">
        <f>241829789</f>
        <v>241829789</v>
      </c>
      <c r="F5" s="13">
        <f>226949046</f>
        <v>226949046</v>
      </c>
      <c r="G5" s="13">
        <v>225159484</v>
      </c>
      <c r="H5" s="13">
        <v>222165508</v>
      </c>
      <c r="I5" s="13">
        <v>225150360</v>
      </c>
      <c r="J5" s="13">
        <v>224524077</v>
      </c>
      <c r="K5" s="13">
        <v>217496337</v>
      </c>
      <c r="L5" s="13">
        <v>238046630</v>
      </c>
      <c r="M5" s="13">
        <v>251978325</v>
      </c>
      <c r="N5" s="13">
        <v>268508417</v>
      </c>
    </row>
    <row r="6" spans="1:14" ht="23.25" customHeight="1" x14ac:dyDescent="0.25">
      <c r="A6" s="26"/>
      <c r="B6" s="10" t="s">
        <v>14</v>
      </c>
      <c r="C6" s="8">
        <f>14801812+4260332</f>
        <v>19062144</v>
      </c>
      <c r="D6" s="13">
        <f>13154797+3559813</f>
        <v>16714610</v>
      </c>
      <c r="E6" s="13">
        <f>13449480+3687809</f>
        <v>17137289</v>
      </c>
      <c r="F6" s="13">
        <f>12319123+3382399</f>
        <v>15701522</v>
      </c>
      <c r="G6" s="13">
        <f>11609161+3026653</f>
        <v>14635814</v>
      </c>
      <c r="H6" s="13">
        <f>11902776+2444161</f>
        <v>14346937</v>
      </c>
      <c r="I6" s="13">
        <f>12275964+2770935</f>
        <v>15046899</v>
      </c>
      <c r="J6" s="13">
        <f>11246080+3025878</f>
        <v>14271958</v>
      </c>
      <c r="K6" s="13">
        <f>9042502+3482536</f>
        <v>12525038</v>
      </c>
      <c r="L6" s="13">
        <f>11147475+3321148</f>
        <v>14468623</v>
      </c>
      <c r="M6" s="13">
        <f>13769526+3724800</f>
        <v>17494326</v>
      </c>
      <c r="N6" s="13">
        <f>16514882+3630628</f>
        <v>20145510</v>
      </c>
    </row>
    <row r="7" spans="1:14" ht="23.25" customHeight="1" x14ac:dyDescent="0.25">
      <c r="A7" s="26"/>
      <c r="B7" s="10" t="s">
        <v>15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1.75" customHeight="1" x14ac:dyDescent="0.25">
      <c r="A8" s="26"/>
      <c r="B8" s="10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6.25" customHeight="1" x14ac:dyDescent="0.25">
      <c r="A9" s="26"/>
      <c r="B9" s="10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6"/>
      <c r="B10" s="21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23.25" customHeight="1" x14ac:dyDescent="0.25">
      <c r="A11" s="26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4.75" customHeight="1" x14ac:dyDescent="0.25">
      <c r="A12" s="27"/>
      <c r="B12" s="11" t="s">
        <v>18</v>
      </c>
      <c r="C12" s="8">
        <f>SUM(C5:C9,C11)</f>
        <v>274678791</v>
      </c>
      <c r="D12" s="8">
        <f>SUM(D5:D9,D11)</f>
        <v>234467550</v>
      </c>
      <c r="E12" s="8">
        <f>SUM(E5:E9,E11)</f>
        <v>258967078</v>
      </c>
      <c r="F12" s="8">
        <f t="shared" ref="F12:N12" si="0">SUM(F5:F9,F11)</f>
        <v>242650568</v>
      </c>
      <c r="G12" s="8">
        <f t="shared" si="0"/>
        <v>239795298</v>
      </c>
      <c r="H12" s="8">
        <f t="shared" si="0"/>
        <v>236512445</v>
      </c>
      <c r="I12" s="8">
        <f t="shared" si="0"/>
        <v>240197259</v>
      </c>
      <c r="J12" s="8">
        <f t="shared" si="0"/>
        <v>238796035</v>
      </c>
      <c r="K12" s="14">
        <f t="shared" si="0"/>
        <v>230021375</v>
      </c>
      <c r="L12" s="8">
        <f t="shared" si="0"/>
        <v>252515253</v>
      </c>
      <c r="M12" s="8">
        <f t="shared" si="0"/>
        <v>269472651</v>
      </c>
      <c r="N12" s="8">
        <f t="shared" si="0"/>
        <v>288653927</v>
      </c>
    </row>
    <row r="13" spans="1:14" x14ac:dyDescent="0.25">
      <c r="A13" s="23" t="s">
        <v>18</v>
      </c>
      <c r="B13" s="24"/>
      <c r="C13" s="9">
        <f>C12</f>
        <v>274678791</v>
      </c>
      <c r="D13" s="9">
        <f t="shared" ref="D13:N13" si="1">D12</f>
        <v>234467550</v>
      </c>
      <c r="E13" s="9">
        <f t="shared" si="1"/>
        <v>258967078</v>
      </c>
      <c r="F13" s="9">
        <f t="shared" si="1"/>
        <v>242650568</v>
      </c>
      <c r="G13" s="9">
        <f t="shared" si="1"/>
        <v>239795298</v>
      </c>
      <c r="H13" s="9">
        <f t="shared" si="1"/>
        <v>236512445</v>
      </c>
      <c r="I13" s="9">
        <f t="shared" si="1"/>
        <v>240197259</v>
      </c>
      <c r="J13" s="9">
        <f t="shared" si="1"/>
        <v>238796035</v>
      </c>
      <c r="K13" s="9">
        <f t="shared" si="1"/>
        <v>230021375</v>
      </c>
      <c r="L13" s="9">
        <f t="shared" si="1"/>
        <v>252515253</v>
      </c>
      <c r="M13" s="9">
        <f t="shared" si="1"/>
        <v>269472651</v>
      </c>
      <c r="N13" s="9">
        <f t="shared" si="1"/>
        <v>288653927</v>
      </c>
    </row>
  </sheetData>
  <mergeCells count="5">
    <mergeCell ref="A2:N2"/>
    <mergeCell ref="A4:A12"/>
    <mergeCell ref="B4:N4"/>
    <mergeCell ref="B10:N10"/>
    <mergeCell ref="A13:B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F1" zoomScale="75" zoomScaleNormal="75" workbookViewId="0">
      <selection activeCell="Q7" sqref="Q7"/>
    </sheetView>
  </sheetViews>
  <sheetFormatPr defaultRowHeight="15" x14ac:dyDescent="0.25"/>
  <cols>
    <col min="1" max="1" width="21.42578125" customWidth="1"/>
    <col min="2" max="2" width="15.140625" customWidth="1"/>
    <col min="3" max="14" width="21.140625" customWidth="1"/>
    <col min="15" max="15" width="9.140625" style="17" customWidth="1"/>
    <col min="17" max="17" width="14.28515625" style="17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7" ht="28.5" x14ac:dyDescent="0.25">
      <c r="A3" s="3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7" x14ac:dyDescent="0.25">
      <c r="A4" s="25" t="s">
        <v>27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7" ht="21.75" customHeight="1" x14ac:dyDescent="0.25">
      <c r="A5" s="26"/>
      <c r="B5" s="10" t="s">
        <v>19</v>
      </c>
      <c r="C5" s="13">
        <v>266677683</v>
      </c>
      <c r="D5" s="13">
        <v>230143039</v>
      </c>
      <c r="E5" s="13">
        <v>258164495</v>
      </c>
      <c r="F5" s="13">
        <v>236402956</v>
      </c>
      <c r="G5" s="13">
        <v>233180194</v>
      </c>
      <c r="H5" s="13">
        <v>222662237</v>
      </c>
      <c r="I5" s="13">
        <v>227312622</v>
      </c>
      <c r="J5" s="13">
        <v>217502550</v>
      </c>
      <c r="K5" s="13">
        <v>215913812</v>
      </c>
      <c r="L5" s="13">
        <v>241884968</v>
      </c>
      <c r="M5" s="13">
        <v>246602362</v>
      </c>
      <c r="N5" s="13">
        <v>251234483</v>
      </c>
      <c r="O5" s="19">
        <f>N5/M5</f>
        <v>1.0187837657451149</v>
      </c>
      <c r="Q5" s="16">
        <f>AVERAGE(C5:N5)</f>
        <v>237306783.41666666</v>
      </c>
    </row>
    <row r="6" spans="1:17" ht="23.25" customHeight="1" x14ac:dyDescent="0.25">
      <c r="A6" s="26"/>
      <c r="B6" s="10" t="s">
        <v>14</v>
      </c>
      <c r="C6" s="13">
        <v>15193923</v>
      </c>
      <c r="D6" s="13">
        <v>12665457</v>
      </c>
      <c r="E6" s="13">
        <v>12527795</v>
      </c>
      <c r="F6" s="13">
        <v>13047237</v>
      </c>
      <c r="G6" s="13">
        <v>12223162</v>
      </c>
      <c r="H6" s="13">
        <v>11859148</v>
      </c>
      <c r="I6" s="13">
        <v>12494859</v>
      </c>
      <c r="J6" s="13">
        <v>10467949</v>
      </c>
      <c r="K6" s="13">
        <v>12647932</v>
      </c>
      <c r="L6" s="13">
        <v>13918492</v>
      </c>
      <c r="M6" s="13">
        <v>13508435</v>
      </c>
      <c r="N6" s="13">
        <v>15876579</v>
      </c>
      <c r="O6" s="19">
        <f>N6/M6</f>
        <v>1.1753085387019295</v>
      </c>
      <c r="Q6" s="16">
        <f>AVERAGE(C6:N6)</f>
        <v>13035914</v>
      </c>
    </row>
    <row r="7" spans="1:17" ht="23.25" customHeight="1" x14ac:dyDescent="0.25">
      <c r="A7" s="26"/>
      <c r="B7" s="10" t="s">
        <v>15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ht="21.75" customHeight="1" x14ac:dyDescent="0.25">
      <c r="A8" s="26"/>
      <c r="B8" s="10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7" ht="26.25" customHeight="1" x14ac:dyDescent="0.25">
      <c r="A9" s="26"/>
      <c r="B9" s="10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7" x14ac:dyDescent="0.25">
      <c r="A10" s="26"/>
      <c r="B10" s="21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7" ht="23.25" customHeight="1" x14ac:dyDescent="0.25">
      <c r="A11" s="26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7" ht="24.75" customHeight="1" x14ac:dyDescent="0.25">
      <c r="A12" s="27"/>
      <c r="B12" s="11" t="s">
        <v>18</v>
      </c>
      <c r="C12" s="9">
        <f>SUM(C5:C9,C11)</f>
        <v>281871606</v>
      </c>
      <c r="D12" s="9">
        <f>SUM(D5:D9,D11)</f>
        <v>242808496</v>
      </c>
      <c r="E12" s="9">
        <f>SUM(E5:E9,E11)</f>
        <v>270692290</v>
      </c>
      <c r="F12" s="9">
        <f t="shared" ref="F12:N12" si="0">SUM(F5:F9,F11)</f>
        <v>249450193</v>
      </c>
      <c r="G12" s="9">
        <f t="shared" si="0"/>
        <v>245403356</v>
      </c>
      <c r="H12" s="9">
        <f t="shared" si="0"/>
        <v>234521385</v>
      </c>
      <c r="I12" s="9">
        <f t="shared" si="0"/>
        <v>239807481</v>
      </c>
      <c r="J12" s="9">
        <f t="shared" si="0"/>
        <v>227970499</v>
      </c>
      <c r="K12" s="15">
        <f t="shared" si="0"/>
        <v>228561744</v>
      </c>
      <c r="L12" s="9">
        <f t="shared" si="0"/>
        <v>255803460</v>
      </c>
      <c r="M12" s="9">
        <f t="shared" si="0"/>
        <v>260110797</v>
      </c>
      <c r="N12" s="9">
        <f t="shared" si="0"/>
        <v>267111062</v>
      </c>
    </row>
    <row r="13" spans="1:17" x14ac:dyDescent="0.25">
      <c r="A13" s="23" t="s">
        <v>18</v>
      </c>
      <c r="B13" s="24"/>
      <c r="C13" s="9">
        <f>C12</f>
        <v>281871606</v>
      </c>
      <c r="D13" s="9">
        <f t="shared" ref="D13:N13" si="1">D12</f>
        <v>242808496</v>
      </c>
      <c r="E13" s="9">
        <f t="shared" si="1"/>
        <v>270692290</v>
      </c>
      <c r="F13" s="9">
        <f t="shared" si="1"/>
        <v>249450193</v>
      </c>
      <c r="G13" s="9">
        <f t="shared" si="1"/>
        <v>245403356</v>
      </c>
      <c r="H13" s="9">
        <f t="shared" si="1"/>
        <v>234521385</v>
      </c>
      <c r="I13" s="9">
        <f t="shared" si="1"/>
        <v>239807481</v>
      </c>
      <c r="J13" s="9">
        <f t="shared" si="1"/>
        <v>227970499</v>
      </c>
      <c r="K13" s="9">
        <f t="shared" si="1"/>
        <v>228561744</v>
      </c>
      <c r="L13" s="9">
        <f t="shared" si="1"/>
        <v>255803460</v>
      </c>
      <c r="M13" s="9">
        <f t="shared" si="1"/>
        <v>260110797</v>
      </c>
      <c r="N13" s="9">
        <f t="shared" si="1"/>
        <v>267111062</v>
      </c>
    </row>
  </sheetData>
  <mergeCells count="5">
    <mergeCell ref="A2:N2"/>
    <mergeCell ref="A4:A12"/>
    <mergeCell ref="B4:N4"/>
    <mergeCell ref="B10:N10"/>
    <mergeCell ref="A13:B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75" zoomScaleNormal="75" workbookViewId="0">
      <selection activeCell="V5" sqref="V5:V6"/>
    </sheetView>
  </sheetViews>
  <sheetFormatPr defaultRowHeight="15" x14ac:dyDescent="0.25"/>
  <cols>
    <col min="1" max="1" width="21.42578125" customWidth="1"/>
    <col min="2" max="2" width="15.140625" customWidth="1"/>
    <col min="3" max="6" width="21.140625" customWidth="1"/>
    <col min="7" max="7" width="21.140625" hidden="1" customWidth="1"/>
    <col min="8" max="8" width="21.140625" customWidth="1"/>
    <col min="9" max="9" width="21.140625" hidden="1" customWidth="1"/>
    <col min="10" max="10" width="21.140625" customWidth="1"/>
    <col min="11" max="11" width="21.140625" hidden="1" customWidth="1"/>
    <col min="12" max="12" width="21.140625" customWidth="1"/>
    <col min="13" max="13" width="21.140625" hidden="1" customWidth="1"/>
    <col min="14" max="15" width="21.140625" customWidth="1"/>
    <col min="16" max="16" width="21.140625" hidden="1" customWidth="1"/>
    <col min="17" max="17" width="21.140625" customWidth="1"/>
    <col min="18" max="18" width="21.140625" hidden="1" customWidth="1"/>
    <col min="19" max="19" width="21.140625" customWidth="1"/>
    <col min="20" max="20" width="21.140625" hidden="1" customWidth="1"/>
    <col min="21" max="21" width="21.14062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2" ht="28.5" x14ac:dyDescent="0.25">
      <c r="A3" s="3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/>
      <c r="H3" s="6" t="s">
        <v>6</v>
      </c>
      <c r="I3" s="6"/>
      <c r="J3" s="6" t="s">
        <v>7</v>
      </c>
      <c r="K3" s="6"/>
      <c r="L3" s="6" t="s">
        <v>8</v>
      </c>
      <c r="M3" s="6"/>
      <c r="N3" s="6" t="s">
        <v>9</v>
      </c>
      <c r="O3" s="6" t="s">
        <v>10</v>
      </c>
      <c r="P3" s="6"/>
      <c r="Q3" s="6" t="s">
        <v>11</v>
      </c>
      <c r="R3" s="6"/>
      <c r="S3" s="6" t="s">
        <v>12</v>
      </c>
      <c r="T3" s="6"/>
      <c r="U3" s="6" t="s">
        <v>13</v>
      </c>
    </row>
    <row r="4" spans="1:22" x14ac:dyDescent="0.25">
      <c r="A4" s="25" t="s">
        <v>32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2" ht="21.75" customHeight="1" x14ac:dyDescent="0.25">
      <c r="A5" s="26"/>
      <c r="B5" s="10" t="s">
        <v>19</v>
      </c>
      <c r="C5" s="13">
        <v>270980206</v>
      </c>
      <c r="D5" s="13">
        <v>236538323</v>
      </c>
      <c r="E5" s="13">
        <v>245051344</v>
      </c>
      <c r="F5" s="13">
        <v>237993639</v>
      </c>
      <c r="G5" s="18">
        <v>0.98636750548922913</v>
      </c>
      <c r="H5" s="13">
        <v>236005134</v>
      </c>
      <c r="I5" s="13">
        <v>0.95489343747608346</v>
      </c>
      <c r="J5" s="13">
        <v>224759324</v>
      </c>
      <c r="K5" s="13">
        <v>1.0208853780625584</v>
      </c>
      <c r="L5" s="13">
        <v>226418421</v>
      </c>
      <c r="M5" s="13">
        <v>0.95684325879624932</v>
      </c>
      <c r="N5" s="13">
        <v>225350137</v>
      </c>
      <c r="O5" s="13">
        <v>224847333</v>
      </c>
      <c r="P5" s="13">
        <v>1.1202848292076841</v>
      </c>
      <c r="Q5" s="13">
        <v>243063951</v>
      </c>
      <c r="R5" s="13">
        <v>1.0195026339958422</v>
      </c>
      <c r="S5" s="13">
        <v>240433408</v>
      </c>
      <c r="T5" s="13">
        <v>1.0187837657451149</v>
      </c>
      <c r="U5" s="13">
        <v>261121234</v>
      </c>
      <c r="V5" s="19">
        <f>U5/S5</f>
        <v>1.0860438912050026</v>
      </c>
    </row>
    <row r="6" spans="1:22" ht="23.25" customHeight="1" x14ac:dyDescent="0.25">
      <c r="A6" s="26"/>
      <c r="B6" s="10" t="s">
        <v>14</v>
      </c>
      <c r="C6" s="13">
        <v>14888154</v>
      </c>
      <c r="D6" s="13">
        <v>11830108</v>
      </c>
      <c r="E6" s="13">
        <v>13192472</v>
      </c>
      <c r="F6" s="13">
        <v>13104922</v>
      </c>
      <c r="G6" s="18">
        <v>0.93683911773810813</v>
      </c>
      <c r="H6" s="13">
        <v>11973513</v>
      </c>
      <c r="I6" s="13">
        <v>0.97021932622671614</v>
      </c>
      <c r="J6" s="13">
        <v>11541041</v>
      </c>
      <c r="K6" s="13">
        <v>1.0536051156457444</v>
      </c>
      <c r="L6" s="13">
        <v>12396799</v>
      </c>
      <c r="M6" s="13">
        <v>0.83778048235678371</v>
      </c>
      <c r="N6" s="13">
        <v>12904390</v>
      </c>
      <c r="O6" s="13">
        <v>10181583</v>
      </c>
      <c r="P6" s="13">
        <v>1.1004559480553817</v>
      </c>
      <c r="Q6" s="13">
        <v>12592401</v>
      </c>
      <c r="R6" s="13">
        <v>0.97053869054205011</v>
      </c>
      <c r="S6" s="13">
        <v>13991756</v>
      </c>
      <c r="T6" s="13">
        <v>1.1753085387019295</v>
      </c>
      <c r="U6" s="13">
        <v>13983992</v>
      </c>
      <c r="V6" s="19">
        <f>U6/S6</f>
        <v>0.99944510181566915</v>
      </c>
    </row>
    <row r="7" spans="1:22" ht="23.25" customHeight="1" x14ac:dyDescent="0.25">
      <c r="A7" s="26"/>
      <c r="B7" s="10" t="s">
        <v>15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21.75" customHeight="1" x14ac:dyDescent="0.25">
      <c r="A8" s="26"/>
      <c r="B8" s="10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2" ht="26.25" customHeight="1" x14ac:dyDescent="0.25">
      <c r="A9" s="26"/>
      <c r="B9" s="10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x14ac:dyDescent="0.25">
      <c r="A10" s="26"/>
      <c r="B10" s="21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</row>
    <row r="11" spans="1:22" ht="23.25" customHeight="1" x14ac:dyDescent="0.25">
      <c r="A11" s="26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2" ht="24.75" customHeight="1" x14ac:dyDescent="0.25">
      <c r="A12" s="27"/>
      <c r="B12" s="11" t="s">
        <v>18</v>
      </c>
      <c r="C12" s="9">
        <f>SUM(C5:C9,C11)</f>
        <v>285868360</v>
      </c>
      <c r="D12" s="9">
        <f>SUM(D5:D9,D11)</f>
        <v>248368431</v>
      </c>
      <c r="E12" s="9">
        <f>SUM(E5:E9,E11)</f>
        <v>258243816</v>
      </c>
      <c r="F12" s="9">
        <f t="shared" ref="F12:U12" si="0">SUM(F5:F9,F11)</f>
        <v>251098561</v>
      </c>
      <c r="G12" s="9"/>
      <c r="H12" s="9">
        <f t="shared" si="0"/>
        <v>247978647</v>
      </c>
      <c r="I12" s="9"/>
      <c r="J12" s="9">
        <f t="shared" si="0"/>
        <v>236300365</v>
      </c>
      <c r="K12" s="9"/>
      <c r="L12" s="9">
        <f t="shared" si="0"/>
        <v>238815220</v>
      </c>
      <c r="M12" s="9"/>
      <c r="N12" s="9">
        <f t="shared" si="0"/>
        <v>238254527</v>
      </c>
      <c r="O12" s="15">
        <f t="shared" si="0"/>
        <v>235028916</v>
      </c>
      <c r="P12" s="15"/>
      <c r="Q12" s="9">
        <f t="shared" si="0"/>
        <v>255656352</v>
      </c>
      <c r="R12" s="9"/>
      <c r="S12" s="9">
        <f t="shared" si="0"/>
        <v>254425164</v>
      </c>
      <c r="T12" s="9"/>
      <c r="U12" s="9">
        <f t="shared" si="0"/>
        <v>275105226</v>
      </c>
    </row>
    <row r="13" spans="1:22" x14ac:dyDescent="0.25">
      <c r="A13" s="23" t="s">
        <v>18</v>
      </c>
      <c r="B13" s="24"/>
      <c r="C13" s="9">
        <f>C12</f>
        <v>285868360</v>
      </c>
      <c r="D13" s="9">
        <f t="shared" ref="D13:U13" si="1">D12</f>
        <v>248368431</v>
      </c>
      <c r="E13" s="9">
        <f t="shared" si="1"/>
        <v>258243816</v>
      </c>
      <c r="F13" s="9">
        <f t="shared" si="1"/>
        <v>251098561</v>
      </c>
      <c r="G13" s="9"/>
      <c r="H13" s="9">
        <f t="shared" si="1"/>
        <v>247978647</v>
      </c>
      <c r="I13" s="9"/>
      <c r="J13" s="9">
        <f t="shared" si="1"/>
        <v>236300365</v>
      </c>
      <c r="K13" s="9"/>
      <c r="L13" s="9">
        <f t="shared" si="1"/>
        <v>238815220</v>
      </c>
      <c r="M13" s="9"/>
      <c r="N13" s="9">
        <f t="shared" si="1"/>
        <v>238254527</v>
      </c>
      <c r="O13" s="9">
        <f t="shared" si="1"/>
        <v>235028916</v>
      </c>
      <c r="P13" s="9"/>
      <c r="Q13" s="9">
        <f t="shared" si="1"/>
        <v>255656352</v>
      </c>
      <c r="R13" s="9"/>
      <c r="S13" s="9">
        <f t="shared" si="1"/>
        <v>254425164</v>
      </c>
      <c r="T13" s="9"/>
      <c r="U13" s="9">
        <f t="shared" si="1"/>
        <v>275105226</v>
      </c>
    </row>
  </sheetData>
  <mergeCells count="5">
    <mergeCell ref="A2:U2"/>
    <mergeCell ref="A4:A12"/>
    <mergeCell ref="B4:U4"/>
    <mergeCell ref="B10:U10"/>
    <mergeCell ref="A13:B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zoomScale="70" zoomScaleNormal="70" workbookViewId="0">
      <selection activeCell="K31" sqref="K31"/>
    </sheetView>
  </sheetViews>
  <sheetFormatPr defaultRowHeight="15" x14ac:dyDescent="0.25"/>
  <cols>
    <col min="1" max="1" width="21.42578125" customWidth="1"/>
    <col min="2" max="2" width="15.140625" customWidth="1"/>
    <col min="3" max="3" width="21.140625" customWidth="1"/>
    <col min="4" max="4" width="21.140625" hidden="1" customWidth="1"/>
    <col min="5" max="6" width="21.140625" customWidth="1"/>
    <col min="7" max="7" width="21.140625" hidden="1" customWidth="1"/>
    <col min="8" max="8" width="21.140625" customWidth="1"/>
    <col min="9" max="10" width="21.140625" hidden="1" customWidth="1"/>
    <col min="11" max="11" width="21.140625" customWidth="1"/>
    <col min="12" max="13" width="21.140625" hidden="1" customWidth="1"/>
    <col min="14" max="14" width="21.140625" customWidth="1"/>
    <col min="15" max="15" width="21.140625" hidden="1" customWidth="1"/>
    <col min="16" max="16" width="21.140625" customWidth="1"/>
    <col min="17" max="18" width="21.140625" hidden="1" customWidth="1"/>
    <col min="19" max="19" width="21.140625" customWidth="1"/>
    <col min="20" max="20" width="21.140625" hidden="1" customWidth="1"/>
    <col min="21" max="21" width="21.140625" customWidth="1"/>
    <col min="22" max="23" width="21.140625" hidden="1" customWidth="1"/>
    <col min="24" max="24" width="21.140625" customWidth="1"/>
    <col min="25" max="26" width="21.140625" hidden="1" customWidth="1"/>
    <col min="27" max="27" width="21.140625" customWidth="1"/>
    <col min="28" max="29" width="21.140625" hidden="1" customWidth="1"/>
    <col min="30" max="30" width="21.140625" customWidth="1"/>
    <col min="31" max="31" width="9.140625" style="19"/>
  </cols>
  <sheetData>
    <row r="1" spans="1:3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x14ac:dyDescent="0.25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1" ht="28.5" x14ac:dyDescent="0.25">
      <c r="A3" s="3" t="s">
        <v>0</v>
      </c>
      <c r="B3" s="5" t="s">
        <v>1</v>
      </c>
      <c r="C3" s="6" t="s">
        <v>2</v>
      </c>
      <c r="D3" s="6"/>
      <c r="E3" s="6" t="s">
        <v>3</v>
      </c>
      <c r="F3" s="6" t="s">
        <v>4</v>
      </c>
      <c r="G3" s="6"/>
      <c r="H3" s="6" t="s">
        <v>5</v>
      </c>
      <c r="I3" s="6"/>
      <c r="J3" s="6"/>
      <c r="K3" s="6" t="s">
        <v>6</v>
      </c>
      <c r="L3" s="6"/>
      <c r="M3" s="6"/>
      <c r="N3" s="6" t="s">
        <v>7</v>
      </c>
      <c r="O3" s="6"/>
      <c r="P3" s="6" t="s">
        <v>8</v>
      </c>
      <c r="Q3" s="6"/>
      <c r="R3" s="6"/>
      <c r="S3" s="6" t="s">
        <v>9</v>
      </c>
      <c r="T3" s="6"/>
      <c r="U3" s="6" t="s">
        <v>10</v>
      </c>
      <c r="V3" s="6"/>
      <c r="W3" s="6"/>
      <c r="X3" s="6" t="s">
        <v>11</v>
      </c>
      <c r="Y3" s="6"/>
      <c r="Z3" s="6"/>
      <c r="AA3" s="6" t="s">
        <v>12</v>
      </c>
      <c r="AB3" s="6"/>
      <c r="AC3" s="6"/>
      <c r="AD3" s="6" t="s">
        <v>13</v>
      </c>
    </row>
    <row r="4" spans="1:31" x14ac:dyDescent="0.25">
      <c r="A4" s="25" t="s">
        <v>32</v>
      </c>
      <c r="B4" s="20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2"/>
    </row>
    <row r="5" spans="1:31" ht="21.75" customHeight="1" x14ac:dyDescent="0.25">
      <c r="A5" s="26"/>
      <c r="B5" s="10" t="s">
        <v>19</v>
      </c>
      <c r="C5" s="13">
        <v>261891490</v>
      </c>
      <c r="D5" s="13">
        <v>0.87289889727222369</v>
      </c>
      <c r="E5" s="13">
        <v>223032101</v>
      </c>
      <c r="F5" s="13">
        <v>254794369</v>
      </c>
      <c r="G5" s="13">
        <v>0.97119907654944349</v>
      </c>
      <c r="H5" s="13">
        <v>230874099</v>
      </c>
      <c r="I5" s="18"/>
      <c r="J5" s="18">
        <v>0.99164471366396478</v>
      </c>
      <c r="K5" s="13">
        <v>232023223</v>
      </c>
      <c r="L5" s="13"/>
      <c r="M5" s="13">
        <v>0.95234929931651402</v>
      </c>
      <c r="N5" s="13">
        <v>216822280</v>
      </c>
      <c r="O5" s="13"/>
      <c r="P5" s="13">
        <v>196126500</v>
      </c>
      <c r="Q5" s="13"/>
      <c r="R5" s="13">
        <v>0.99528181498977952</v>
      </c>
      <c r="S5" s="13">
        <v>218564856</v>
      </c>
      <c r="T5" s="13">
        <v>0.99776878768882227</v>
      </c>
      <c r="U5" s="13">
        <v>217795798</v>
      </c>
      <c r="V5" s="13"/>
      <c r="W5" s="13">
        <v>1.0810177188092331</v>
      </c>
      <c r="X5" s="13">
        <v>228762466</v>
      </c>
      <c r="Y5" s="13"/>
      <c r="Z5" s="13">
        <v>0.98917756833468073</v>
      </c>
      <c r="AA5" s="13">
        <v>238360585</v>
      </c>
      <c r="AB5" s="13"/>
      <c r="AC5" s="13">
        <v>1.0860438912050026</v>
      </c>
      <c r="AD5" s="13">
        <v>228608502</v>
      </c>
      <c r="AE5" s="19">
        <f>'2022'!C5/'2021'!AD5</f>
        <v>1.0521804696484998</v>
      </c>
    </row>
    <row r="6" spans="1:31" ht="23.25" customHeight="1" x14ac:dyDescent="0.25">
      <c r="A6" s="26"/>
      <c r="B6" s="10" t="s">
        <v>14</v>
      </c>
      <c r="C6" s="13">
        <v>12863121</v>
      </c>
      <c r="D6" s="13">
        <v>0.79459871250660086</v>
      </c>
      <c r="E6" s="13">
        <v>11748718</v>
      </c>
      <c r="F6" s="13">
        <v>12947704</v>
      </c>
      <c r="G6" s="13">
        <v>0.99336363950592432</v>
      </c>
      <c r="H6" s="13">
        <v>10842019</v>
      </c>
      <c r="I6" s="18"/>
      <c r="J6" s="18">
        <v>0.91366533887038781</v>
      </c>
      <c r="K6" s="13">
        <v>11869963</v>
      </c>
      <c r="L6" s="13"/>
      <c r="M6" s="13">
        <v>0.96388094287783377</v>
      </c>
      <c r="N6" s="13">
        <v>11307676</v>
      </c>
      <c r="O6" s="13"/>
      <c r="P6" s="13">
        <v>11365643</v>
      </c>
      <c r="Q6" s="13"/>
      <c r="R6" s="13">
        <v>1.0409453279027916</v>
      </c>
      <c r="S6" s="13">
        <v>12059817</v>
      </c>
      <c r="T6" s="13">
        <v>0.78900149484012805</v>
      </c>
      <c r="U6" s="13">
        <v>12190778</v>
      </c>
      <c r="V6" s="13"/>
      <c r="W6" s="13">
        <v>1.2367822371039945</v>
      </c>
      <c r="X6" s="13">
        <v>13147961</v>
      </c>
      <c r="Y6" s="13"/>
      <c r="Z6" s="13">
        <v>1.1111269407637194</v>
      </c>
      <c r="AA6" s="13">
        <v>13032779</v>
      </c>
      <c r="AB6" s="13"/>
      <c r="AC6" s="13">
        <v>0.99944510181566915</v>
      </c>
      <c r="AD6" s="13">
        <v>11062709</v>
      </c>
      <c r="AE6" s="19">
        <f>'2022'!C6/'2021'!AD6</f>
        <v>1.1465553328755189</v>
      </c>
    </row>
    <row r="7" spans="1:31" ht="23.25" customHeight="1" x14ac:dyDescent="0.25">
      <c r="A7" s="26"/>
      <c r="B7" s="10" t="s">
        <v>15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1" ht="21.75" customHeight="1" x14ac:dyDescent="0.25">
      <c r="A8" s="26"/>
      <c r="B8" s="10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1" ht="26.25" customHeight="1" x14ac:dyDescent="0.25">
      <c r="A9" s="26"/>
      <c r="B9" s="10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1" x14ac:dyDescent="0.25">
      <c r="A10" s="26"/>
      <c r="B10" s="21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</row>
    <row r="11" spans="1:31" ht="23.25" customHeight="1" x14ac:dyDescent="0.25">
      <c r="A11" s="26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1" ht="24.75" customHeight="1" x14ac:dyDescent="0.25">
      <c r="A12" s="27"/>
      <c r="B12" s="11" t="s">
        <v>18</v>
      </c>
      <c r="C12" s="9">
        <f>SUM(C5:C9,C11)</f>
        <v>274754611</v>
      </c>
      <c r="D12" s="9"/>
      <c r="E12" s="9">
        <f>SUM(E5:E9,E11)</f>
        <v>234780819</v>
      </c>
      <c r="F12" s="9">
        <f>SUM(F5:F9,F11)</f>
        <v>267742073</v>
      </c>
      <c r="G12" s="9"/>
      <c r="H12" s="9">
        <f t="shared" ref="H12:AD12" si="0">SUM(H5:H9,H11)</f>
        <v>241716118</v>
      </c>
      <c r="I12" s="9"/>
      <c r="J12" s="9"/>
      <c r="K12" s="9">
        <f t="shared" si="0"/>
        <v>243893186</v>
      </c>
      <c r="L12" s="9"/>
      <c r="M12" s="9"/>
      <c r="N12" s="9">
        <f t="shared" si="0"/>
        <v>228129956</v>
      </c>
      <c r="O12" s="9"/>
      <c r="P12" s="9">
        <f t="shared" si="0"/>
        <v>207492143</v>
      </c>
      <c r="Q12" s="9"/>
      <c r="R12" s="9"/>
      <c r="S12" s="9">
        <f t="shared" si="0"/>
        <v>230624673</v>
      </c>
      <c r="T12" s="9"/>
      <c r="U12" s="9">
        <f t="shared" si="0"/>
        <v>229986576</v>
      </c>
      <c r="V12" s="15"/>
      <c r="W12" s="15"/>
      <c r="X12" s="9">
        <f t="shared" si="0"/>
        <v>241910427</v>
      </c>
      <c r="Y12" s="9"/>
      <c r="Z12" s="9"/>
      <c r="AA12" s="9">
        <f t="shared" si="0"/>
        <v>251393364</v>
      </c>
      <c r="AB12" s="9"/>
      <c r="AC12" s="9"/>
      <c r="AD12" s="9">
        <f t="shared" si="0"/>
        <v>239671211</v>
      </c>
    </row>
    <row r="13" spans="1:31" x14ac:dyDescent="0.25">
      <c r="A13" s="23" t="s">
        <v>18</v>
      </c>
      <c r="B13" s="24"/>
      <c r="C13" s="9">
        <f>C12</f>
        <v>274754611</v>
      </c>
      <c r="D13" s="9"/>
      <c r="E13" s="9">
        <f t="shared" ref="E13:AD13" si="1">E12</f>
        <v>234780819</v>
      </c>
      <c r="F13" s="9">
        <f t="shared" si="1"/>
        <v>267742073</v>
      </c>
      <c r="G13" s="9"/>
      <c r="H13" s="9">
        <f t="shared" si="1"/>
        <v>241716118</v>
      </c>
      <c r="I13" s="9"/>
      <c r="J13" s="9"/>
      <c r="K13" s="9">
        <f t="shared" si="1"/>
        <v>243893186</v>
      </c>
      <c r="L13" s="9"/>
      <c r="M13" s="9"/>
      <c r="N13" s="9">
        <f t="shared" si="1"/>
        <v>228129956</v>
      </c>
      <c r="O13" s="9"/>
      <c r="P13" s="9">
        <f t="shared" si="1"/>
        <v>207492143</v>
      </c>
      <c r="Q13" s="9"/>
      <c r="R13" s="9"/>
      <c r="S13" s="9">
        <f t="shared" si="1"/>
        <v>230624673</v>
      </c>
      <c r="T13" s="9"/>
      <c r="U13" s="9">
        <f t="shared" si="1"/>
        <v>229986576</v>
      </c>
      <c r="V13" s="9"/>
      <c r="W13" s="9"/>
      <c r="X13" s="9">
        <f t="shared" si="1"/>
        <v>241910427</v>
      </c>
      <c r="Y13" s="9"/>
      <c r="Z13" s="9"/>
      <c r="AA13" s="9">
        <f t="shared" si="1"/>
        <v>251393364</v>
      </c>
      <c r="AB13" s="9"/>
      <c r="AC13" s="9"/>
      <c r="AD13" s="9">
        <f t="shared" si="1"/>
        <v>239671211</v>
      </c>
    </row>
  </sheetData>
  <mergeCells count="5">
    <mergeCell ref="A2:AD2"/>
    <mergeCell ref="A4:A12"/>
    <mergeCell ref="B4:AD4"/>
    <mergeCell ref="B10:AD10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Сухоребров Артем Викторович</cp:lastModifiedBy>
  <dcterms:created xsi:type="dcterms:W3CDTF">2013-11-13T16:10:49Z</dcterms:created>
  <dcterms:modified xsi:type="dcterms:W3CDTF">2024-04-22T11:57:50Z</dcterms:modified>
</cp:coreProperties>
</file>