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2570" yWindow="180" windowWidth="12450" windowHeight="12195" tabRatio="539" firstSheet="8" activeTab="11"/>
  </bookViews>
  <sheets>
    <sheet name="2013 " sheetId="5" state="hidden" r:id="rId1"/>
    <sheet name="2014" sheetId="6" state="hidden" r:id="rId2"/>
    <sheet name="2015 " sheetId="7" state="hidden" r:id="rId3"/>
    <sheet name="2016" sheetId="8" state="hidden" r:id="rId4"/>
    <sheet name="2017" sheetId="9" state="hidden" r:id="rId5"/>
    <sheet name="2018" sheetId="10" state="hidden" r:id="rId6"/>
    <sheet name="2019" sheetId="11" state="hidden" r:id="rId7"/>
    <sheet name="2020" sheetId="12" state="hidden" r:id="rId8"/>
    <sheet name="2021" sheetId="13" r:id="rId9"/>
    <sheet name="2022" sheetId="14" r:id="rId10"/>
    <sheet name="2023" sheetId="15" r:id="rId11"/>
    <sheet name="2024" sheetId="16" r:id="rId12"/>
  </sheets>
  <externalReferences>
    <externalReference r:id="rId13"/>
  </externalReferences>
  <calcPr calcId="162913"/>
</workbook>
</file>

<file path=xl/calcChain.xml><?xml version="1.0" encoding="utf-8"?>
<calcChain xmlns="http://schemas.openxmlformats.org/spreadsheetml/2006/main">
  <c r="E5" i="16" l="1"/>
  <c r="D5" i="16" l="1"/>
  <c r="C5" i="16" l="1"/>
  <c r="N12" i="16"/>
  <c r="M12" i="16"/>
  <c r="L12" i="16"/>
  <c r="K12" i="16"/>
  <c r="J12" i="16"/>
  <c r="I12" i="16"/>
  <c r="H12" i="16"/>
  <c r="G12" i="16"/>
  <c r="F12" i="16"/>
  <c r="E12" i="16"/>
  <c r="D12" i="16"/>
  <c r="C12" i="16"/>
  <c r="N5" i="15" l="1"/>
  <c r="M5" i="15" l="1"/>
  <c r="L5" i="15" l="1"/>
  <c r="K5" i="15" l="1"/>
  <c r="J5" i="15" l="1"/>
  <c r="I5" i="15" l="1"/>
  <c r="H5" i="15" l="1"/>
  <c r="G5" i="15" l="1"/>
  <c r="F12" i="15" l="1"/>
  <c r="F5" i="15" l="1"/>
  <c r="E5" i="15" l="1"/>
  <c r="D5" i="15" l="1"/>
  <c r="C5" i="15" l="1"/>
  <c r="AS5" i="14" l="1"/>
  <c r="C12" i="15" l="1"/>
  <c r="AH11" i="13"/>
  <c r="AH9" i="13"/>
  <c r="AH8" i="13"/>
  <c r="AH7" i="13"/>
  <c r="AH5" i="13"/>
  <c r="N12" i="15"/>
  <c r="M12" i="15"/>
  <c r="L12" i="15"/>
  <c r="K12" i="15"/>
  <c r="J12" i="15"/>
  <c r="I12" i="15"/>
  <c r="H12" i="15"/>
  <c r="G12" i="15"/>
  <c r="E12" i="15"/>
  <c r="D12" i="15"/>
  <c r="AO5" i="14" l="1"/>
  <c r="AK5" i="14" l="1"/>
  <c r="AG5" i="14"/>
  <c r="AC5" i="14" l="1"/>
  <c r="Y5" i="14" l="1"/>
  <c r="U5" i="14" l="1"/>
  <c r="Q5" i="14" l="1"/>
  <c r="M5" i="14" l="1"/>
  <c r="M6" i="14" l="1"/>
  <c r="D5" i="14" l="1"/>
  <c r="J5" i="14"/>
  <c r="G5" i="14"/>
  <c r="W11" i="12" l="1"/>
  <c r="W9" i="12"/>
  <c r="W8" i="12"/>
  <c r="W7" i="12"/>
  <c r="W5" i="12"/>
  <c r="AS12" i="14"/>
  <c r="AO12" i="14"/>
  <c r="AK12" i="14"/>
  <c r="AG12" i="14"/>
  <c r="AC12" i="14"/>
  <c r="Y12" i="14"/>
  <c r="U12" i="14"/>
  <c r="Q12" i="14"/>
  <c r="M12" i="14"/>
  <c r="J12" i="14"/>
  <c r="G12" i="14"/>
  <c r="D12" i="14" l="1"/>
  <c r="AG5" i="13"/>
  <c r="AD5" i="13" l="1"/>
  <c r="AA5" i="13"/>
  <c r="X5" i="13"/>
  <c r="U5" i="13"/>
  <c r="R5" i="13"/>
  <c r="O5" i="13"/>
  <c r="L5" i="13"/>
  <c r="I5" i="13"/>
  <c r="G5" i="13"/>
  <c r="E5" i="13"/>
  <c r="C5" i="13"/>
  <c r="AA12" i="13"/>
  <c r="X12" i="13"/>
  <c r="O12" i="13"/>
  <c r="L12" i="13"/>
  <c r="E12" i="13"/>
  <c r="C12" i="13"/>
  <c r="AG12" i="13"/>
  <c r="AD12" i="13"/>
  <c r="U12" i="13"/>
  <c r="R12" i="13"/>
  <c r="I12" i="13"/>
  <c r="G12" i="13"/>
  <c r="V5" i="12"/>
  <c r="O11" i="11"/>
  <c r="O9" i="11"/>
  <c r="O8" i="11"/>
  <c r="O7" i="11"/>
  <c r="O5" i="11"/>
  <c r="T5" i="12"/>
  <c r="O6" i="11"/>
  <c r="R5" i="12"/>
  <c r="P5" i="12"/>
  <c r="N5" i="12"/>
  <c r="M11" i="12"/>
  <c r="N11" i="12"/>
  <c r="L5" i="12"/>
  <c r="J5" i="12"/>
  <c r="H5" i="12"/>
  <c r="F5" i="12"/>
  <c r="E12" i="12"/>
  <c r="E5" i="12"/>
  <c r="D5" i="12"/>
  <c r="Q7" i="11"/>
  <c r="Q8" i="11"/>
  <c r="Q9" i="11"/>
  <c r="Q11" i="11"/>
  <c r="Q5" i="11"/>
  <c r="C5" i="12"/>
  <c r="V12" i="12"/>
  <c r="T12" i="12"/>
  <c r="R12" i="12"/>
  <c r="P12" i="12"/>
  <c r="N12" i="12"/>
  <c r="L12" i="12"/>
  <c r="J12" i="12"/>
  <c r="H12" i="12"/>
  <c r="F12" i="12"/>
  <c r="D12" i="12"/>
  <c r="C12" i="12"/>
  <c r="N5" i="11"/>
  <c r="M5" i="11"/>
  <c r="L5" i="11"/>
  <c r="K5" i="11"/>
  <c r="J5" i="11"/>
  <c r="I5" i="11"/>
  <c r="H5" i="11"/>
  <c r="G5" i="11"/>
  <c r="F5" i="11"/>
  <c r="E5" i="11"/>
  <c r="D5" i="11"/>
  <c r="C5" i="11"/>
  <c r="E12" i="11"/>
  <c r="D12" i="11"/>
  <c r="C12" i="11"/>
  <c r="N12" i="11"/>
  <c r="M12" i="11"/>
  <c r="L12" i="11"/>
  <c r="K12" i="11"/>
  <c r="J12" i="11"/>
  <c r="I12" i="11"/>
  <c r="H12" i="11"/>
  <c r="G12" i="11"/>
  <c r="F12" i="11"/>
  <c r="N5" i="10"/>
  <c r="M5" i="10"/>
  <c r="L5" i="10"/>
  <c r="K5" i="10"/>
  <c r="J5" i="10"/>
  <c r="I5" i="10"/>
  <c r="H5" i="10"/>
  <c r="G5" i="10"/>
  <c r="F5" i="10"/>
  <c r="N12" i="10"/>
  <c r="K12" i="10"/>
  <c r="G12" i="10"/>
  <c r="F12" i="10"/>
  <c r="C12" i="10"/>
  <c r="M12" i="10"/>
  <c r="L12" i="10"/>
  <c r="J12" i="10"/>
  <c r="I12" i="10"/>
  <c r="H12" i="10"/>
  <c r="E12" i="10"/>
  <c r="D12" i="10"/>
  <c r="M5" i="9"/>
  <c r="L5" i="9"/>
  <c r="K12" i="9"/>
  <c r="J5" i="9"/>
  <c r="J12" i="9"/>
  <c r="I5" i="9"/>
  <c r="I12" i="9"/>
  <c r="H5" i="9"/>
  <c r="H6" i="9"/>
  <c r="G6" i="9"/>
  <c r="G5" i="9"/>
  <c r="G12" i="9"/>
  <c r="F6" i="9"/>
  <c r="F5" i="9"/>
  <c r="E6" i="9"/>
  <c r="E5" i="9"/>
  <c r="D7" i="9"/>
  <c r="D6" i="9"/>
  <c r="D5" i="9"/>
  <c r="C7" i="9"/>
  <c r="C6" i="9"/>
  <c r="C5" i="9"/>
  <c r="N12" i="9"/>
  <c r="M12" i="9"/>
  <c r="L12" i="9"/>
  <c r="H12" i="9"/>
  <c r="F12" i="9"/>
  <c r="E12" i="9"/>
  <c r="D12" i="9"/>
  <c r="C12" i="9"/>
  <c r="C6" i="8"/>
  <c r="C5" i="8"/>
  <c r="D6" i="8"/>
  <c r="D5" i="8"/>
  <c r="E6" i="8"/>
  <c r="E5" i="8"/>
  <c r="F6" i="8"/>
  <c r="F5" i="8"/>
  <c r="N12" i="8"/>
  <c r="M12" i="8"/>
  <c r="L12" i="8"/>
  <c r="K12" i="8"/>
  <c r="J12" i="8"/>
  <c r="I12" i="8"/>
  <c r="H12" i="8"/>
  <c r="G12" i="8"/>
  <c r="F12" i="8"/>
  <c r="E12" i="8"/>
  <c r="D12" i="8"/>
  <c r="C12" i="8"/>
  <c r="E12" i="7"/>
  <c r="D12" i="7"/>
  <c r="F12" i="7"/>
  <c r="G12" i="7"/>
  <c r="H12" i="7"/>
  <c r="I12" i="7"/>
  <c r="J12" i="7"/>
  <c r="K12" i="7"/>
  <c r="L12" i="7"/>
  <c r="M12" i="7"/>
  <c r="N12" i="7"/>
  <c r="C12" i="7"/>
  <c r="C12" i="6"/>
  <c r="C13" i="6"/>
  <c r="N12" i="6"/>
  <c r="N13" i="6"/>
  <c r="M12" i="6"/>
  <c r="M13" i="6"/>
  <c r="L12" i="6"/>
  <c r="L13" i="6"/>
  <c r="K12" i="6"/>
  <c r="K13" i="6"/>
  <c r="J12" i="6"/>
  <c r="J13" i="6"/>
  <c r="I12" i="6"/>
  <c r="I13" i="6"/>
  <c r="H12" i="6"/>
  <c r="H13" i="6"/>
  <c r="G12" i="6"/>
  <c r="G13" i="6"/>
  <c r="F12" i="6"/>
  <c r="F13" i="6"/>
  <c r="E12" i="6"/>
  <c r="E13" i="6"/>
  <c r="D12" i="6"/>
  <c r="D13" i="6"/>
  <c r="C11" i="5"/>
  <c r="C12" i="5"/>
  <c r="N11" i="5"/>
  <c r="N12" i="5"/>
  <c r="M11" i="5"/>
  <c r="M12" i="5"/>
  <c r="L11" i="5"/>
  <c r="L12" i="5"/>
  <c r="K11" i="5"/>
  <c r="K12" i="5"/>
  <c r="J11" i="5"/>
  <c r="J12" i="5"/>
  <c r="I11" i="5"/>
  <c r="I12" i="5"/>
  <c r="H11" i="5"/>
  <c r="H12" i="5"/>
  <c r="G11" i="5"/>
  <c r="G12" i="5"/>
  <c r="F11" i="5"/>
  <c r="F12" i="5"/>
  <c r="E11" i="5"/>
  <c r="E12" i="5"/>
  <c r="D11" i="5"/>
  <c r="D12" i="5"/>
</calcChain>
</file>

<file path=xl/sharedStrings.xml><?xml version="1.0" encoding="utf-8"?>
<sst xmlns="http://schemas.openxmlformats.org/spreadsheetml/2006/main" count="289" uniqueCount="36">
  <si>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</si>
  <si>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</si>
  <si>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</si>
  <si>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</si>
  <si>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</si>
  <si>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</si>
  <si>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</si>
  <si>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</si>
  <si>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</si>
  <si>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</si>
  <si>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</si>
  <si>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</si>
  <si>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</si>
  <si>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</si>
  <si>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</si>
  <si>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</si>
  <si>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</si>
  <si>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</si>
  <si>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</si>
  <si>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</si>
  <si>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ОАО "Томская распределительная компания"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</si>
  <si>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</si>
  <si>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</si>
  <si>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2015 год</t>
  </si>
  <si>
    <t>Население, кВтч</t>
  </si>
  <si>
    <t>Прочие потребители, кВтч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</si>
  <si>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2016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</si>
  <si>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</si>
  <si>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</si>
  <si>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</si>
  <si>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2020 год</t>
  </si>
  <si>
    <t>ПАО "Томская распределительная компания"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</si>
  <si>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</si>
  <si>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</si>
  <si>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</si>
  <si>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Томской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</si>
</sst>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_р_._-;\-* #,##0_р_._-;_-* &quot;-&quot;_р_._-;_-@_-"/>
    <numFmt numFmtId="168" formatCode="_-* #,##0_$_-;\-* #,##0_$_-;_-* &quot;-&quot;_$_-;_-@_-"/>
    <numFmt numFmtId="169" formatCode="_-* #,##0.00_$_-;\-* #,##0.00_$_-;_-* &quot;-&quot;??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_-* #,##0\ _р_._-;\-* #,##0\ _р_._-;_-* &quot;-&quot;\ _р_._-;_-@_-"/>
    <numFmt numFmtId="173" formatCode="_-* #,##0.00\ _р_._-;\-* #,##0.00\ _р_._-;_-* &quot;-&quot;??\ _р_._-;_-@_-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NTHarmonica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98">
    <xf numFmtId="0" fontId="0" fillId="0" borderId="0"/>
    <xf numFmtId="165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3" borderId="0" applyNumberFormat="0" applyBorder="0" applyAlignment="0" applyProtection="0"/>
    <xf numFmtId="0" fontId="14" fillId="33" borderId="9" applyNumberFormat="0" applyAlignment="0" applyProtection="0"/>
    <xf numFmtId="0" fontId="15" fillId="34" borderId="9" applyNumberFormat="0" applyAlignment="0" applyProtection="0"/>
    <xf numFmtId="0" fontId="16" fillId="23" borderId="10" applyNumberFormat="0" applyAlignment="0" applyProtection="0"/>
    <xf numFmtId="0" fontId="16" fillId="35" borderId="10" applyNumberFormat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0" borderId="9" applyNumberFormat="0" applyAlignment="0" applyProtection="0"/>
    <xf numFmtId="0" fontId="28" fillId="7" borderId="9" applyNumberFormat="0" applyAlignment="0" applyProtection="0"/>
    <xf numFmtId="0" fontId="29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2" fillId="0" borderId="0"/>
    <xf numFmtId="0" fontId="33" fillId="0" borderId="0"/>
    <xf numFmtId="0" fontId="8" fillId="21" borderId="17" applyNumberFormat="0" applyFont="0" applyAlignment="0" applyProtection="0"/>
    <xf numFmtId="0" fontId="8" fillId="41" borderId="17" applyNumberFormat="0" applyFont="0" applyAlignment="0" applyProtection="0"/>
    <xf numFmtId="0" fontId="34" fillId="33" borderId="18" applyNumberFormat="0" applyAlignment="0" applyProtection="0"/>
    <xf numFmtId="0" fontId="34" fillId="34" borderId="18" applyNumberFormat="0" applyAlignment="0" applyProtection="0"/>
    <xf numFmtId="0" fontId="35" fillId="0" borderId="0" applyNumberFormat="0">
      <alignment horizontal="left"/>
    </xf>
    <xf numFmtId="0" fontId="36" fillId="0" borderId="0">
      <alignment horizontal="right" vertical="top"/>
    </xf>
    <xf numFmtId="0" fontId="37" fillId="41" borderId="0">
      <alignment horizontal="center" vertical="top"/>
    </xf>
    <xf numFmtId="0" fontId="38" fillId="0" borderId="0">
      <alignment horizontal="center" vertical="top"/>
    </xf>
    <xf numFmtId="0" fontId="36" fillId="0" borderId="0">
      <alignment horizontal="right" vertical="top"/>
    </xf>
    <xf numFmtId="0" fontId="36" fillId="0" borderId="0">
      <alignment horizontal="right" vertical="top"/>
    </xf>
    <xf numFmtId="0" fontId="36" fillId="0" borderId="0">
      <alignment horizontal="right" vertical="top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19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1" borderId="0" applyNumberFormat="0" applyBorder="0" applyAlignment="0" applyProtection="0"/>
    <xf numFmtId="0" fontId="28" fillId="7" borderId="9" applyNumberFormat="0" applyAlignment="0" applyProtection="0"/>
    <xf numFmtId="0" fontId="34" fillId="34" borderId="18" applyNumberFormat="0" applyAlignment="0" applyProtection="0"/>
    <xf numFmtId="0" fontId="15" fillId="34" borderId="9" applyNumberFormat="0" applyAlignment="0" applyProtection="0"/>
    <xf numFmtId="0" fontId="23" fillId="0" borderId="12" applyNumberFormat="0" applyFill="0" applyAlignment="0" applyProtection="0"/>
    <xf numFmtId="0" fontId="25" fillId="0" borderId="13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16" fillId="35" borderId="10" applyNumberFormat="0" applyAlignment="0" applyProtection="0"/>
    <xf numFmtId="0" fontId="40" fillId="0" borderId="0" applyNumberFormat="0" applyFill="0" applyBorder="0" applyAlignment="0" applyProtection="0"/>
    <xf numFmtId="0" fontId="31" fillId="40" borderId="0" applyNumberFormat="0" applyBorder="0" applyAlignment="0" applyProtection="0"/>
    <xf numFmtId="4" fontId="8" fillId="0" borderId="0">
      <alignment vertical="center"/>
    </xf>
    <xf numFmtId="4" fontId="8" fillId="0" borderId="0">
      <alignment vertical="center"/>
    </xf>
    <xf numFmtId="0" fontId="9" fillId="0" borderId="0"/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0" fontId="9" fillId="0" borderId="0"/>
    <xf numFmtId="0" fontId="9" fillId="0" borderId="0"/>
    <xf numFmtId="4" fontId="9" fillId="0" borderId="0">
      <alignment vertical="center"/>
    </xf>
    <xf numFmtId="0" fontId="9" fillId="0" borderId="0"/>
    <xf numFmtId="4" fontId="9" fillId="0" borderId="0">
      <alignment vertical="center"/>
    </xf>
    <xf numFmtId="0" fontId="8" fillId="0" borderId="0"/>
    <xf numFmtId="0" fontId="8" fillId="0" borderId="0"/>
    <xf numFmtId="0" fontId="1" fillId="0" borderId="0"/>
    <xf numFmtId="0" fontId="10" fillId="0" borderId="0"/>
    <xf numFmtId="0" fontId="1" fillId="0" borderId="0"/>
    <xf numFmtId="0" fontId="17" fillId="0" borderId="0"/>
    <xf numFmtId="0" fontId="9" fillId="0" borderId="0"/>
    <xf numFmtId="4" fontId="9" fillId="0" borderId="0">
      <alignment vertical="center"/>
    </xf>
    <xf numFmtId="0" fontId="1" fillId="0" borderId="0"/>
    <xf numFmtId="0" fontId="17" fillId="0" borderId="0"/>
    <xf numFmtId="4" fontId="9" fillId="0" borderId="0">
      <alignment vertical="center"/>
    </xf>
    <xf numFmtId="4" fontId="9" fillId="0" borderId="0">
      <alignment vertical="center"/>
    </xf>
    <xf numFmtId="0" fontId="17" fillId="0" borderId="0"/>
    <xf numFmtId="4" fontId="9" fillId="0" borderId="0">
      <alignment vertical="center"/>
    </xf>
    <xf numFmtId="0" fontId="17" fillId="0" borderId="0"/>
    <xf numFmtId="4" fontId="9" fillId="0" borderId="0">
      <alignment vertical="center"/>
    </xf>
    <xf numFmtId="4" fontId="9" fillId="0" borderId="0">
      <alignment vertical="center"/>
    </xf>
    <xf numFmtId="0" fontId="1" fillId="0" borderId="0"/>
    <xf numFmtId="0" fontId="9" fillId="0" borderId="0"/>
    <xf numFmtId="0" fontId="9" fillId="0" borderId="0"/>
    <xf numFmtId="4" fontId="8" fillId="0" borderId="0">
      <alignment vertical="center"/>
    </xf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4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1" fillId="0" borderId="0"/>
    <xf numFmtId="0" fontId="9" fillId="0" borderId="0"/>
    <xf numFmtId="4" fontId="8" fillId="0" borderId="0">
      <alignment vertical="center"/>
    </xf>
    <xf numFmtId="0" fontId="9" fillId="0" borderId="0"/>
    <xf numFmtId="4" fontId="8" fillId="0" borderId="0">
      <alignment vertical="center"/>
    </xf>
    <xf numFmtId="0" fontId="1" fillId="0" borderId="0"/>
    <xf numFmtId="4" fontId="8" fillId="0" borderId="0">
      <alignment vertical="center"/>
    </xf>
    <xf numFmtId="4" fontId="9" fillId="0" borderId="0">
      <alignment vertical="center"/>
    </xf>
    <xf numFmtId="4" fontId="8" fillId="0" borderId="0">
      <alignment vertical="center"/>
    </xf>
    <xf numFmtId="0" fontId="9" fillId="0" borderId="0"/>
    <xf numFmtId="4" fontId="8" fillId="0" borderId="0">
      <alignment vertical="center"/>
    </xf>
    <xf numFmtId="0" fontId="17" fillId="0" borderId="0"/>
    <xf numFmtId="4" fontId="8" fillId="0" borderId="0">
      <alignment vertical="center"/>
    </xf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1" borderId="17" applyNumberFormat="0" applyFont="0" applyAlignment="0" applyProtection="0"/>
    <xf numFmtId="9" fontId="8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0" fillId="0" borderId="16" applyNumberFormat="0" applyFill="0" applyAlignment="0" applyProtection="0"/>
    <xf numFmtId="4" fontId="45" fillId="0" borderId="0">
      <alignment vertical="center"/>
    </xf>
    <xf numFmtId="0" fontId="41" fillId="0" borderId="0" applyNumberFormat="0" applyFill="0" applyBorder="0" applyAlignment="0" applyProtection="0"/>
    <xf numFmtId="167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67" fontId="8" fillId="0" borderId="0" applyFont="0" applyFill="0" applyBorder="0" applyAlignment="0" applyProtection="0"/>
    <xf numFmtId="38" fontId="44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44" fillId="0" borderId="0" applyFont="0" applyFill="0" applyBorder="0" applyAlignment="0" applyProtection="0"/>
    <xf numFmtId="173" fontId="4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0" fontId="44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5" fillId="0" borderId="3" xfId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4" fillId="0" borderId="0" xfId="0" applyFont="1"/>
    <xf numFmtId="3" fontId="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3" fontId="7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 wrapText="1"/>
    </xf>
    <xf numFmtId="166" fontId="6" fillId="0" borderId="0" xfId="0" applyNumberFormat="1" applyFont="1"/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</cellXfs>
  <cellStyles count="29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2 2" xfId="9"/>
    <cellStyle name="20% - Акцент3 2" xfId="10"/>
    <cellStyle name="20% - Акцент4 2" xfId="11"/>
    <cellStyle name="20% - Акцент5 2" xfId="12"/>
    <cellStyle name="20% - Акцент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Акцент1 2" xfId="20"/>
    <cellStyle name="40% - Акцент2 2" xfId="21"/>
    <cellStyle name="40% - Акцент3 2" xfId="22"/>
    <cellStyle name="40% - Акцент4 2" xfId="23"/>
    <cellStyle name="40% - Акцент5 2" xfId="24"/>
    <cellStyle name="40% - Акцент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Accent1" xfId="38"/>
    <cellStyle name="Accent1 - 20%" xfId="39"/>
    <cellStyle name="Accent1 - 40%" xfId="40"/>
    <cellStyle name="Accent1 - 60%" xfId="41"/>
    <cellStyle name="Accent1 2" xfId="42"/>
    <cellStyle name="Accent1 3" xfId="43"/>
    <cellStyle name="Accent1 4" xfId="44"/>
    <cellStyle name="Accent1 5" xfId="45"/>
    <cellStyle name="Accent1 6" xfId="46"/>
    <cellStyle name="Accent1 7" xfId="47"/>
    <cellStyle name="Accent1 8" xfId="48"/>
    <cellStyle name="Accent1 9" xfId="49"/>
    <cellStyle name="Accent1_БЭ-ПЭ 01.2011" xfId="50"/>
    <cellStyle name="Accent2" xfId="51"/>
    <cellStyle name="Accent2 - 20%" xfId="52"/>
    <cellStyle name="Accent2 - 40%" xfId="53"/>
    <cellStyle name="Accent2 - 60%" xfId="54"/>
    <cellStyle name="Accent2 2" xfId="55"/>
    <cellStyle name="Accent2 3" xfId="56"/>
    <cellStyle name="Accent2 4" xfId="57"/>
    <cellStyle name="Accent2 5" xfId="58"/>
    <cellStyle name="Accent2 6" xfId="59"/>
    <cellStyle name="Accent2 7" xfId="60"/>
    <cellStyle name="Accent2 8" xfId="61"/>
    <cellStyle name="Accent2 9" xfId="62"/>
    <cellStyle name="Accent2_БЭ-ПЭ 01.2011" xfId="63"/>
    <cellStyle name="Accent3" xfId="64"/>
    <cellStyle name="Accent3 - 20%" xfId="65"/>
    <cellStyle name="Accent3 - 40%" xfId="66"/>
    <cellStyle name="Accent3 - 60%" xfId="67"/>
    <cellStyle name="Accent3 2" xfId="68"/>
    <cellStyle name="Accent3 3" xfId="69"/>
    <cellStyle name="Accent3 4" xfId="70"/>
    <cellStyle name="Accent3 5" xfId="71"/>
    <cellStyle name="Accent3 6" xfId="72"/>
    <cellStyle name="Accent3 7" xfId="73"/>
    <cellStyle name="Accent3 8" xfId="74"/>
    <cellStyle name="Accent3 9" xfId="75"/>
    <cellStyle name="Accent3_БЭ-ПЭ 01.2011" xfId="76"/>
    <cellStyle name="Accent4" xfId="77"/>
    <cellStyle name="Accent4 - 20%" xfId="78"/>
    <cellStyle name="Accent4 - 40%" xfId="79"/>
    <cellStyle name="Accent4 - 60%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4_БЭ-ПЭ 01.2011" xfId="89"/>
    <cellStyle name="Accent5" xfId="90"/>
    <cellStyle name="Accent5 - 20%" xfId="91"/>
    <cellStyle name="Accent5 - 40%" xfId="92"/>
    <cellStyle name="Accent5 - 60%" xfId="93"/>
    <cellStyle name="Accent5 2" xfId="94"/>
    <cellStyle name="Accent5 3" xfId="95"/>
    <cellStyle name="Accent5 4" xfId="96"/>
    <cellStyle name="Accent5 5" xfId="97"/>
    <cellStyle name="Accent5 6" xfId="98"/>
    <cellStyle name="Accent5 7" xfId="99"/>
    <cellStyle name="Accent5 8" xfId="100"/>
    <cellStyle name="Accent5 9" xfId="101"/>
    <cellStyle name="Accent5_БЭ-ПЭ 01.2011" xfId="102"/>
    <cellStyle name="Accent6" xfId="103"/>
    <cellStyle name="Accent6 - 20%" xfId="104"/>
    <cellStyle name="Accent6 - 40%" xfId="105"/>
    <cellStyle name="Accent6 - 60%" xfId="106"/>
    <cellStyle name="Accent6 2" xfId="107"/>
    <cellStyle name="Accent6 3" xfId="108"/>
    <cellStyle name="Accent6 4" xfId="109"/>
    <cellStyle name="Accent6 5" xfId="110"/>
    <cellStyle name="Accent6 6" xfId="111"/>
    <cellStyle name="Accent6 7" xfId="112"/>
    <cellStyle name="Accent6 8" xfId="113"/>
    <cellStyle name="Accent6 9" xfId="114"/>
    <cellStyle name="Accent6_БЭ-ПЭ 01.2011" xfId="115"/>
    <cellStyle name="Bad" xfId="116"/>
    <cellStyle name="Bad 2" xfId="117"/>
    <cellStyle name="Calculation" xfId="118"/>
    <cellStyle name="Calculation 2" xfId="119"/>
    <cellStyle name="Check Cell" xfId="120"/>
    <cellStyle name="Check Cell 2" xfId="121"/>
    <cellStyle name="Comma [0]_laroux" xfId="122"/>
    <cellStyle name="Comma_laroux" xfId="123"/>
    <cellStyle name="Currency [0]" xfId="124"/>
    <cellStyle name="Currency_laroux" xfId="125"/>
    <cellStyle name="Emphasis 1" xfId="126"/>
    <cellStyle name="Emphasis 2" xfId="127"/>
    <cellStyle name="Emphasis 3" xfId="128"/>
    <cellStyle name="Explanatory Text" xfId="129"/>
    <cellStyle name="Good" xfId="130"/>
    <cellStyle name="Good 2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_ASUS" xfId="146"/>
    <cellStyle name="Normal1" xfId="147"/>
    <cellStyle name="Note" xfId="148"/>
    <cellStyle name="Note 2" xfId="149"/>
    <cellStyle name="Output" xfId="150"/>
    <cellStyle name="Output 2" xfId="151"/>
    <cellStyle name="Price_Body" xfId="152"/>
    <cellStyle name="S10" xfId="153"/>
    <cellStyle name="S12" xfId="154"/>
    <cellStyle name="S13" xfId="155"/>
    <cellStyle name="S19" xfId="156"/>
    <cellStyle name="S22" xfId="157"/>
    <cellStyle name="S23" xfId="158"/>
    <cellStyle name="Sheet Title" xfId="159"/>
    <cellStyle name="Title" xfId="160"/>
    <cellStyle name="Total" xfId="161"/>
    <cellStyle name="Total 2" xfId="162"/>
    <cellStyle name="Warning Text" xfId="163"/>
    <cellStyle name="Акцент1 2" xfId="164"/>
    <cellStyle name="Акцент2 2" xfId="165"/>
    <cellStyle name="Акцент3 2" xfId="166"/>
    <cellStyle name="Акцент4 2" xfId="167"/>
    <cellStyle name="Акцент5 2" xfId="168"/>
    <cellStyle name="Акцент6 2" xfId="169"/>
    <cellStyle name="Ввод  2" xfId="170"/>
    <cellStyle name="Вывод 2" xfId="171"/>
    <cellStyle name="Вычисление 2" xfId="172"/>
    <cellStyle name="Заголовок 1 2" xfId="173"/>
    <cellStyle name="Заголовок 2 2" xfId="174"/>
    <cellStyle name="Заголовок 3 2" xfId="175"/>
    <cellStyle name="Заголовок 4 2" xfId="176"/>
    <cellStyle name="Итог 2" xfId="177"/>
    <cellStyle name="Контрольная ячейка 2" xfId="178"/>
    <cellStyle name="Название 2" xfId="179"/>
    <cellStyle name="Нейтральный 2" xfId="180"/>
    <cellStyle name="Обычный" xfId="0" builtinId="0"/>
    <cellStyle name="Обычный 10" xfId="181"/>
    <cellStyle name="Обычный 11" xfId="182"/>
    <cellStyle name="Обычный 12" xfId="183"/>
    <cellStyle name="Обычный 13" xfId="184"/>
    <cellStyle name="Обычный 14" xfId="185"/>
    <cellStyle name="Обычный 15" xfId="186"/>
    <cellStyle name="Обычный 16" xfId="187"/>
    <cellStyle name="Обычный 16 2" xfId="188"/>
    <cellStyle name="Обычный 17" xfId="189"/>
    <cellStyle name="Обычный 18" xfId="190"/>
    <cellStyle name="Обычный 19" xfId="191"/>
    <cellStyle name="Обычный 2" xfId="192"/>
    <cellStyle name="Обычный 2 2" xfId="193"/>
    <cellStyle name="Обычный 2 2 2" xfId="194"/>
    <cellStyle name="Обычный 2 3" xfId="195"/>
    <cellStyle name="Обычный 2 4" xfId="196"/>
    <cellStyle name="Обычный 2 5" xfId="197"/>
    <cellStyle name="Обычный 2 6" xfId="198"/>
    <cellStyle name="Обычный 20" xfId="199"/>
    <cellStyle name="Обычный 21" xfId="200"/>
    <cellStyle name="Обычный 22" xfId="201"/>
    <cellStyle name="Обычный 23" xfId="202"/>
    <cellStyle name="Обычный 24" xfId="203"/>
    <cellStyle name="Обычный 25" xfId="204"/>
    <cellStyle name="Обычный 26" xfId="205"/>
    <cellStyle name="Обычный 27" xfId="206"/>
    <cellStyle name="Обычный 28" xfId="207"/>
    <cellStyle name="Обычный 28 2" xfId="208"/>
    <cellStyle name="Обычный 29" xfId="209"/>
    <cellStyle name="Обычный 3" xfId="210"/>
    <cellStyle name="Обычный 3 2" xfId="211"/>
    <cellStyle name="Обычный 3 3" xfId="212"/>
    <cellStyle name="Обычный 3 4" xfId="213"/>
    <cellStyle name="Обычный 30" xfId="214"/>
    <cellStyle name="Обычный 30 2" xfId="215"/>
    <cellStyle name="Обычный 30 3" xfId="216"/>
    <cellStyle name="Обычный 30 4" xfId="217"/>
    <cellStyle name="Обычный 31" xfId="218"/>
    <cellStyle name="Обычный 31 2" xfId="219"/>
    <cellStyle name="Обычный 31 3" xfId="220"/>
    <cellStyle name="Обычный 31 4" xfId="221"/>
    <cellStyle name="Обычный 32" xfId="222"/>
    <cellStyle name="Обычный 32 2" xfId="223"/>
    <cellStyle name="Обычный 32 3" xfId="224"/>
    <cellStyle name="Обычный 32 4" xfId="225"/>
    <cellStyle name="Обычный 33" xfId="226"/>
    <cellStyle name="Обычный 33 2" xfId="227"/>
    <cellStyle name="Обычный 33 3" xfId="228"/>
    <cellStyle name="Обычный 33 3 2" xfId="229"/>
    <cellStyle name="Обычный 33 3 3" xfId="230"/>
    <cellStyle name="Обычный 33 4" xfId="231"/>
    <cellStyle name="Обычный 34" xfId="232"/>
    <cellStyle name="Обычный 34 2" xfId="233"/>
    <cellStyle name="Обычный 34 3" xfId="234"/>
    <cellStyle name="Обычный 34 3 2" xfId="235"/>
    <cellStyle name="Обычный 34 4" xfId="236"/>
    <cellStyle name="Обычный 35" xfId="237"/>
    <cellStyle name="Обычный 35 2" xfId="238"/>
    <cellStyle name="Обычный 35 3" xfId="239"/>
    <cellStyle name="Обычный 35 3 2" xfId="240"/>
    <cellStyle name="Обычный 35 4" xfId="241"/>
    <cellStyle name="Обычный 36" xfId="242"/>
    <cellStyle name="Обычный 4" xfId="243"/>
    <cellStyle name="Обычный 4 2" xfId="244"/>
    <cellStyle name="Обычный 4 3" xfId="245"/>
    <cellStyle name="Обычный 5" xfId="246"/>
    <cellStyle name="Обычный 5 2" xfId="247"/>
    <cellStyle name="Обычный 6" xfId="248"/>
    <cellStyle name="Обычный 6 2" xfId="249"/>
    <cellStyle name="Обычный 7" xfId="250"/>
    <cellStyle name="Обычный 7 2" xfId="251"/>
    <cellStyle name="Обычный 7 3" xfId="252"/>
    <cellStyle name="Обычный 8" xfId="253"/>
    <cellStyle name="Обычный 8 2" xfId="254"/>
    <cellStyle name="Обычный 9" xfId="255"/>
    <cellStyle name="Плохой 2" xfId="256"/>
    <cellStyle name="Пояснение 2" xfId="257"/>
    <cellStyle name="Примечание 2" xfId="258"/>
    <cellStyle name="Процентный 2" xfId="259"/>
    <cellStyle name="Процентный 3" xfId="260"/>
    <cellStyle name="Связанная ячейка 2" xfId="261"/>
    <cellStyle name="Стиль 1" xfId="262"/>
    <cellStyle name="Текст предупреждения 2" xfId="263"/>
    <cellStyle name="Тысячи [0]_3Com" xfId="264"/>
    <cellStyle name="Тысячи_3Com" xfId="265"/>
    <cellStyle name="Финансовый" xfId="1" builtinId="3"/>
    <cellStyle name="Финансовый [0] 2" xfId="266"/>
    <cellStyle name="Финансовый [0] 2 2" xfId="267"/>
    <cellStyle name="Финансовый [0] 3" xfId="268"/>
    <cellStyle name="Финансовый 10" xfId="269"/>
    <cellStyle name="Финансовый 11" xfId="270"/>
    <cellStyle name="Финансовый 12" xfId="271"/>
    <cellStyle name="Финансовый 13" xfId="272"/>
    <cellStyle name="Финансовый 14" xfId="273"/>
    <cellStyle name="Финансовый 15" xfId="274"/>
    <cellStyle name="Финансовый 16" xfId="275"/>
    <cellStyle name="Финансовый 17" xfId="276"/>
    <cellStyle name="Финансовый 18" xfId="277"/>
    <cellStyle name="Финансовый 19" xfId="278"/>
    <cellStyle name="Финансовый 2" xfId="279"/>
    <cellStyle name="Финансовый 2 2" xfId="280"/>
    <cellStyle name="Финансовый 20" xfId="281"/>
    <cellStyle name="Финансовый 21" xfId="282"/>
    <cellStyle name="Финансовый 22" xfId="283"/>
    <cellStyle name="Финансовый 23" xfId="284"/>
    <cellStyle name="Финансовый 24" xfId="285"/>
    <cellStyle name="Финансовый 25" xfId="286"/>
    <cellStyle name="Финансовый 26" xfId="287"/>
    <cellStyle name="Финансовый 27" xfId="288"/>
    <cellStyle name="Финансовый 3" xfId="289"/>
    <cellStyle name="Финансовый 3 2" xfId="290"/>
    <cellStyle name="Финансовый 4" xfId="291"/>
    <cellStyle name="Финансовый 5" xfId="292"/>
    <cellStyle name="Финансовый 6" xfId="293"/>
    <cellStyle name="Финансовый 7" xfId="294"/>
    <cellStyle name="Финансовый 8" xfId="295"/>
    <cellStyle name="Финансовый 9" xfId="296"/>
    <cellStyle name="Хороший 2" xfId="29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msk3\&#1086;&#1087;&#1077;&#1088;&#1072;&#1094;&#1080;&#1086;&#1085;&#1085;&#1099;&#1081;%20&#1076;&#1077;&#1087;&#1072;&#1088;&#1090;&#1072;&#1084;&#1077;&#1085;&#1090;\&#1054;&#1090;&#1076;&#1077;&#1083;%20&#1088;&#1077;&#1072;&#1083;&#1080;&#1079;&#1072;&#1094;&#1080;&#1080;\&#1076;&#1083;&#1103;%20&#1089;&#1072;&#1081;&#1090;&#1072;\&#1058;&#1057;&#1054;%202018\&#1052;&#1054;&#1048;%20&#1091;&#1089;&#1083;&#1091;&#1075;&#108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Республика Алтай"/>
      <sheetName val="Брянская область"/>
      <sheetName val="Воронежская область"/>
      <sheetName val="Калужская область"/>
      <sheetName val="Омская область"/>
      <sheetName val="Кемеровская область"/>
      <sheetName val="Томская область"/>
      <sheetName val="Новосибирская область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Владимирская область"/>
      <sheetName val="Волгоградская область"/>
      <sheetName val="Вологод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Татарстан"/>
      <sheetName val="Республика Хакасия"/>
      <sheetName val="Республика Саха (Якутия)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U3">
            <v>1307366</v>
          </cell>
        </row>
        <row r="4">
          <cell r="U4">
            <v>545473</v>
          </cell>
        </row>
        <row r="6">
          <cell r="U6">
            <v>1133008</v>
          </cell>
        </row>
        <row r="7">
          <cell r="U7">
            <v>552537</v>
          </cell>
        </row>
        <row r="9">
          <cell r="U9">
            <v>1214661</v>
          </cell>
        </row>
        <row r="10">
          <cell r="U10">
            <v>565066</v>
          </cell>
        </row>
        <row r="12">
          <cell r="U12">
            <v>1181752</v>
          </cell>
        </row>
        <row r="13">
          <cell r="U13">
            <v>434257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A20" sqref="A20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5" t="s">
        <v>14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ht="22.5" customHeight="1">
      <c r="A6" s="28"/>
      <c r="B6" s="5" t="s">
        <v>15</v>
      </c>
      <c r="C6" s="11">
        <v>363401</v>
      </c>
      <c r="D6" s="11">
        <v>308191</v>
      </c>
      <c r="E6" s="11">
        <v>322292</v>
      </c>
      <c r="F6" s="11">
        <v>294301</v>
      </c>
      <c r="G6" s="11">
        <v>272198</v>
      </c>
      <c r="H6" s="11">
        <v>204024</v>
      </c>
      <c r="I6" s="11">
        <v>300910</v>
      </c>
      <c r="J6" s="11">
        <v>240770</v>
      </c>
      <c r="K6" s="11">
        <v>266662</v>
      </c>
      <c r="L6" s="11">
        <v>318069</v>
      </c>
      <c r="M6" s="11">
        <v>348936</v>
      </c>
      <c r="N6" s="3">
        <v>347445</v>
      </c>
    </row>
    <row r="7" spans="1:14" ht="22.5" customHeight="1">
      <c r="A7" s="28"/>
      <c r="B7" s="5" t="s">
        <v>16</v>
      </c>
      <c r="C7" s="11">
        <v>0</v>
      </c>
      <c r="D7" s="11">
        <v>1</v>
      </c>
      <c r="E7" s="11">
        <v>26</v>
      </c>
      <c r="F7" s="11">
        <v>216</v>
      </c>
      <c r="G7" s="11">
        <v>36</v>
      </c>
      <c r="H7" s="11">
        <v>44</v>
      </c>
      <c r="I7" s="11">
        <v>58</v>
      </c>
      <c r="J7" s="11">
        <v>7</v>
      </c>
      <c r="K7" s="11">
        <v>215</v>
      </c>
      <c r="L7" s="11">
        <v>381</v>
      </c>
      <c r="M7" s="11">
        <v>432</v>
      </c>
      <c r="N7" s="11">
        <v>0</v>
      </c>
    </row>
    <row r="8" spans="1:14" ht="22.5" customHeight="1">
      <c r="A8" s="28"/>
      <c r="B8" s="5" t="s">
        <v>17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</row>
    <row r="9" spans="1:14" ht="22.5" customHeight="1">
      <c r="A9" s="28"/>
      <c r="B9" s="30" t="s">
        <v>24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</row>
    <row r="10" spans="1:14" ht="22.5" customHeight="1">
      <c r="A10" s="28"/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ht="30.75" customHeight="1">
      <c r="A11" s="29"/>
      <c r="B11" s="6" t="s">
        <v>18</v>
      </c>
      <c r="C11" s="3">
        <f t="shared" ref="C11:N11" si="0">SUM(C5:C8,C10)</f>
        <v>363401</v>
      </c>
      <c r="D11" s="3">
        <f t="shared" si="0"/>
        <v>308192</v>
      </c>
      <c r="E11" s="3">
        <f t="shared" si="0"/>
        <v>322318</v>
      </c>
      <c r="F11" s="3">
        <f t="shared" si="0"/>
        <v>294517</v>
      </c>
      <c r="G11" s="3">
        <f t="shared" si="0"/>
        <v>272234</v>
      </c>
      <c r="H11" s="3">
        <f t="shared" si="0"/>
        <v>204068</v>
      </c>
      <c r="I11" s="3">
        <f t="shared" si="0"/>
        <v>300968</v>
      </c>
      <c r="J11" s="3">
        <f t="shared" si="0"/>
        <v>240777</v>
      </c>
      <c r="K11" s="3">
        <f t="shared" si="0"/>
        <v>266877</v>
      </c>
      <c r="L11" s="3">
        <f t="shared" si="0"/>
        <v>318450</v>
      </c>
      <c r="M11" s="3">
        <f t="shared" si="0"/>
        <v>349368</v>
      </c>
      <c r="N11" s="3">
        <f t="shared" si="0"/>
        <v>347445</v>
      </c>
    </row>
    <row r="12" spans="1:14" ht="22.5" customHeight="1">
      <c r="A12" s="33" t="s">
        <v>18</v>
      </c>
      <c r="B12" s="34"/>
      <c r="C12" s="10">
        <f>C11</f>
        <v>363401</v>
      </c>
      <c r="D12" s="10">
        <f t="shared" ref="D12:N12" si="1">D11</f>
        <v>308192</v>
      </c>
      <c r="E12" s="10">
        <f t="shared" si="1"/>
        <v>322318</v>
      </c>
      <c r="F12" s="10">
        <f t="shared" si="1"/>
        <v>294517</v>
      </c>
      <c r="G12" s="10">
        <f t="shared" si="1"/>
        <v>272234</v>
      </c>
      <c r="H12" s="10">
        <f t="shared" si="1"/>
        <v>204068</v>
      </c>
      <c r="I12" s="10">
        <f t="shared" si="1"/>
        <v>300968</v>
      </c>
      <c r="J12" s="10">
        <f t="shared" si="1"/>
        <v>240777</v>
      </c>
      <c r="K12" s="10">
        <f t="shared" si="1"/>
        <v>266877</v>
      </c>
      <c r="L12" s="10">
        <f t="shared" si="1"/>
        <v>318450</v>
      </c>
      <c r="M12" s="10">
        <f t="shared" si="1"/>
        <v>349368</v>
      </c>
      <c r="N12" s="10">
        <f t="shared" si="1"/>
        <v>347445</v>
      </c>
    </row>
  </sheetData>
  <mergeCells count="5">
    <mergeCell ref="A2:N2"/>
    <mergeCell ref="A4:A11"/>
    <mergeCell ref="B4:N4"/>
    <mergeCell ref="B9:N9"/>
    <mergeCell ref="A12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2"/>
  <sheetViews>
    <sheetView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4.85546875" style="1" hidden="1" customWidth="1"/>
    <col min="4" max="4" width="20" style="1" customWidth="1"/>
    <col min="5" max="6" width="20" style="1" hidden="1" customWidth="1"/>
    <col min="7" max="7" width="20" style="16" customWidth="1"/>
    <col min="8" max="9" width="20" style="16" hidden="1" customWidth="1"/>
    <col min="10" max="10" width="20" style="16" customWidth="1"/>
    <col min="11" max="12" width="20" style="16" hidden="1" customWidth="1"/>
    <col min="13" max="13" width="20" style="16" customWidth="1"/>
    <col min="14" max="16" width="20" style="16" hidden="1" customWidth="1"/>
    <col min="17" max="17" width="20" style="1" customWidth="1"/>
    <col min="18" max="20" width="20" style="1" hidden="1" customWidth="1"/>
    <col min="21" max="21" width="20" style="1" customWidth="1"/>
    <col min="22" max="24" width="20" style="1" hidden="1" customWidth="1"/>
    <col min="25" max="25" width="20" style="1" customWidth="1"/>
    <col min="26" max="28" width="20" style="1" hidden="1" customWidth="1"/>
    <col min="29" max="29" width="20" style="1" customWidth="1"/>
    <col min="30" max="32" width="20" style="1" hidden="1" customWidth="1"/>
    <col min="33" max="33" width="20" style="1" customWidth="1"/>
    <col min="34" max="36" width="20" style="1" hidden="1" customWidth="1"/>
    <col min="37" max="37" width="20" style="1" customWidth="1"/>
    <col min="38" max="40" width="20" style="1" hidden="1" customWidth="1"/>
    <col min="41" max="41" width="20" style="1" customWidth="1"/>
    <col min="42" max="44" width="20" style="1" hidden="1" customWidth="1"/>
    <col min="45" max="45" width="20" style="1" customWidth="1"/>
    <col min="46" max="46" width="9.140625" style="20"/>
    <col min="47" max="16384" width="9.140625" style="1"/>
  </cols>
  <sheetData>
    <row r="2" spans="1:46" ht="42.75" customHeight="1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6" s="2" customFormat="1" ht="33" customHeight="1">
      <c r="A3" s="7" t="s">
        <v>0</v>
      </c>
      <c r="B3" s="8" t="s">
        <v>1</v>
      </c>
      <c r="C3" s="8"/>
      <c r="D3" s="9" t="s">
        <v>2</v>
      </c>
      <c r="E3" s="9"/>
      <c r="F3" s="9"/>
      <c r="G3" s="14" t="s">
        <v>3</v>
      </c>
      <c r="H3" s="14"/>
      <c r="I3" s="14"/>
      <c r="J3" s="14" t="s">
        <v>4</v>
      </c>
      <c r="K3" s="14"/>
      <c r="L3" s="14"/>
      <c r="M3" s="14" t="s">
        <v>5</v>
      </c>
      <c r="N3" s="14"/>
      <c r="O3" s="14"/>
      <c r="P3" s="14"/>
      <c r="Q3" s="9" t="s">
        <v>6</v>
      </c>
      <c r="R3" s="9"/>
      <c r="S3" s="9"/>
      <c r="T3" s="9"/>
      <c r="U3" s="9" t="s">
        <v>7</v>
      </c>
      <c r="V3" s="9"/>
      <c r="W3" s="9"/>
      <c r="X3" s="9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21"/>
    </row>
    <row r="4" spans="1:46" ht="22.5" customHeight="1">
      <c r="A4" s="27" t="s">
        <v>31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2"/>
    </row>
    <row r="5" spans="1:46" ht="22.5" customHeight="1">
      <c r="A5" s="28"/>
      <c r="B5" s="17" t="s">
        <v>14</v>
      </c>
      <c r="C5" s="17">
        <v>1.0721197853080862</v>
      </c>
      <c r="D5" s="13">
        <f>669405+943311</f>
        <v>1612716</v>
      </c>
      <c r="E5" s="13"/>
      <c r="F5" s="13">
        <v>0.7721868810844732</v>
      </c>
      <c r="G5" s="13">
        <f>575895+800007</f>
        <v>1375902</v>
      </c>
      <c r="H5" s="13"/>
      <c r="I5" s="13">
        <v>1.1097081922511367</v>
      </c>
      <c r="J5" s="13">
        <f>555816+909075</f>
        <v>1464891</v>
      </c>
      <c r="K5" s="13"/>
      <c r="L5" s="13">
        <v>0.8091865570813811</v>
      </c>
      <c r="M5" s="13">
        <f>782632+365669</f>
        <v>1148301</v>
      </c>
      <c r="N5" s="13"/>
      <c r="O5" s="13"/>
      <c r="P5" s="13">
        <v>0.91235864645674047</v>
      </c>
      <c r="Q5" s="13">
        <f>762039+173135</f>
        <v>935174</v>
      </c>
      <c r="R5" s="13"/>
      <c r="S5" s="13"/>
      <c r="T5" s="13">
        <v>0.8882357845947807</v>
      </c>
      <c r="U5" s="18">
        <f>807702+134669</f>
        <v>942371</v>
      </c>
      <c r="V5" s="18"/>
      <c r="W5" s="18"/>
      <c r="X5" s="18">
        <v>0.98427583483820025</v>
      </c>
      <c r="Y5" s="18">
        <f>726043+121014</f>
        <v>847057</v>
      </c>
      <c r="Z5" s="18"/>
      <c r="AA5" s="18"/>
      <c r="AB5" s="18">
        <v>1.0052150007964085</v>
      </c>
      <c r="AC5" s="12">
        <f>54435+122036+717491</f>
        <v>893962</v>
      </c>
      <c r="AD5" s="18"/>
      <c r="AE5" s="18"/>
      <c r="AF5" s="18">
        <v>0.99619511527137927</v>
      </c>
      <c r="AG5" s="12">
        <f>100346+136487+767310</f>
        <v>1004143</v>
      </c>
      <c r="AH5" s="18"/>
      <c r="AI5" s="18"/>
      <c r="AJ5" s="18">
        <v>1.2097832063467127</v>
      </c>
      <c r="AK5" s="12">
        <f>291864+110339+745890</f>
        <v>1148093</v>
      </c>
      <c r="AL5" s="18"/>
      <c r="AM5" s="18"/>
      <c r="AN5" s="18">
        <v>1.1291866184037529</v>
      </c>
      <c r="AO5" s="12">
        <f>381549+145407+878318</f>
        <v>1405274</v>
      </c>
      <c r="AP5" s="23"/>
      <c r="AQ5" s="23"/>
      <c r="AR5" s="23">
        <v>1.1338984098508176</v>
      </c>
      <c r="AS5" s="12">
        <f>484791+198210+1021957</f>
        <v>1704958</v>
      </c>
    </row>
    <row r="6" spans="1:46" ht="22.5" customHeight="1">
      <c r="A6" s="28"/>
      <c r="B6" s="17" t="s">
        <v>19</v>
      </c>
      <c r="C6" s="17"/>
      <c r="D6" s="13"/>
      <c r="E6" s="13"/>
      <c r="F6" s="13"/>
      <c r="G6" s="13"/>
      <c r="H6" s="13"/>
      <c r="I6" s="13"/>
      <c r="J6" s="13"/>
      <c r="K6" s="13"/>
      <c r="L6" s="13"/>
      <c r="M6" s="13">
        <f t="shared" ref="M6" si="0">L6*J6</f>
        <v>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2"/>
      <c r="AH6" s="22"/>
      <c r="AI6" s="22"/>
      <c r="AJ6" s="22"/>
      <c r="AK6" s="13"/>
      <c r="AL6" s="13"/>
      <c r="AM6" s="13"/>
      <c r="AN6" s="13"/>
      <c r="AO6" s="13"/>
      <c r="AP6" s="13"/>
      <c r="AQ6" s="13"/>
      <c r="AR6" s="13"/>
      <c r="AS6" s="22"/>
    </row>
    <row r="7" spans="1:46" ht="22.5" customHeight="1">
      <c r="A7" s="28"/>
      <c r="B7" s="5" t="s">
        <v>15</v>
      </c>
      <c r="C7" s="5">
        <v>1.1757479240131954</v>
      </c>
      <c r="D7" s="12">
        <v>14530</v>
      </c>
      <c r="E7" s="12"/>
      <c r="F7" s="12">
        <v>0.89768769349845201</v>
      </c>
      <c r="G7" s="12">
        <v>28135</v>
      </c>
      <c r="H7" s="12"/>
      <c r="I7" s="12">
        <v>0.87597672037506069</v>
      </c>
      <c r="J7" s="12">
        <v>28812</v>
      </c>
      <c r="K7" s="12"/>
      <c r="L7" s="12">
        <v>0.62803358863154002</v>
      </c>
      <c r="M7" s="12">
        <v>18084</v>
      </c>
      <c r="N7" s="12"/>
      <c r="O7" s="12"/>
      <c r="P7" s="12">
        <v>0.57943971005975115</v>
      </c>
      <c r="Q7" s="12">
        <v>7528</v>
      </c>
      <c r="R7" s="12"/>
      <c r="S7" s="12"/>
      <c r="T7" s="12">
        <v>0.69723607471895865</v>
      </c>
      <c r="U7" s="12">
        <v>7686</v>
      </c>
      <c r="V7" s="12"/>
      <c r="W7" s="12"/>
      <c r="X7" s="12">
        <v>0.88034913322827013</v>
      </c>
      <c r="Y7" s="12">
        <v>7314</v>
      </c>
      <c r="Z7" s="12"/>
      <c r="AA7" s="12"/>
      <c r="AB7" s="12">
        <v>1.0191407325805564</v>
      </c>
      <c r="AC7" s="12">
        <v>6757</v>
      </c>
      <c r="AD7" s="12"/>
      <c r="AE7" s="12"/>
      <c r="AF7" s="12">
        <v>1.5868125928928523</v>
      </c>
      <c r="AG7" s="13">
        <v>12461</v>
      </c>
      <c r="AH7" s="13"/>
      <c r="AI7" s="13"/>
      <c r="AJ7" s="13">
        <v>0.73407697547683926</v>
      </c>
      <c r="AK7" s="12">
        <v>14822</v>
      </c>
      <c r="AL7" s="12"/>
      <c r="AM7" s="12"/>
      <c r="AN7" s="12">
        <v>1.1415149054634033</v>
      </c>
      <c r="AO7" s="12">
        <v>8300</v>
      </c>
      <c r="AP7" s="12"/>
      <c r="AQ7" s="12"/>
      <c r="AR7" s="12">
        <v>1.1520170714358298</v>
      </c>
      <c r="AS7" s="12">
        <v>11566</v>
      </c>
    </row>
    <row r="8" spans="1:46" ht="22.5" customHeight="1">
      <c r="A8" s="28"/>
      <c r="B8" s="5" t="s">
        <v>16</v>
      </c>
      <c r="C8" s="5">
        <v>1.4020199075676694</v>
      </c>
      <c r="D8" s="12">
        <v>168353</v>
      </c>
      <c r="E8" s="12"/>
      <c r="F8" s="12">
        <v>0.69670966568193438</v>
      </c>
      <c r="G8" s="12">
        <v>134840</v>
      </c>
      <c r="H8" s="12"/>
      <c r="I8" s="12">
        <v>0.92355183068993607</v>
      </c>
      <c r="J8" s="12">
        <v>132644</v>
      </c>
      <c r="K8" s="12"/>
      <c r="L8" s="12">
        <v>0.62822040459120132</v>
      </c>
      <c r="M8" s="12">
        <v>78368</v>
      </c>
      <c r="N8" s="12"/>
      <c r="O8" s="12"/>
      <c r="P8" s="12">
        <v>0.52383758934407787</v>
      </c>
      <c r="Q8" s="12">
        <v>39709</v>
      </c>
      <c r="R8" s="12"/>
      <c r="S8" s="12"/>
      <c r="T8" s="12">
        <v>0.88847066524834306</v>
      </c>
      <c r="U8" s="12">
        <v>43707</v>
      </c>
      <c r="V8" s="12"/>
      <c r="W8" s="12"/>
      <c r="X8" s="12">
        <v>1.1223752072204827</v>
      </c>
      <c r="Y8" s="12">
        <v>36543</v>
      </c>
      <c r="Z8" s="12"/>
      <c r="AA8" s="12"/>
      <c r="AB8" s="12">
        <v>0.91503066855396231</v>
      </c>
      <c r="AC8" s="12">
        <v>43282</v>
      </c>
      <c r="AD8" s="12"/>
      <c r="AE8" s="12"/>
      <c r="AF8" s="12">
        <v>1.5476291895527408</v>
      </c>
      <c r="AG8" s="13">
        <v>65990</v>
      </c>
      <c r="AH8" s="13"/>
      <c r="AI8" s="13"/>
      <c r="AJ8" s="13">
        <v>1.3139558465639123</v>
      </c>
      <c r="AK8" s="12">
        <v>91746</v>
      </c>
      <c r="AL8" s="12"/>
      <c r="AM8" s="12"/>
      <c r="AN8" s="12">
        <v>1.4156330963011963</v>
      </c>
      <c r="AO8" s="12">
        <v>120387</v>
      </c>
      <c r="AP8" s="12"/>
      <c r="AQ8" s="12"/>
      <c r="AR8" s="12">
        <v>1.1627740352790001</v>
      </c>
      <c r="AS8" s="12">
        <v>184777</v>
      </c>
    </row>
    <row r="9" spans="1:46" ht="22.5" customHeight="1">
      <c r="A9" s="28"/>
      <c r="B9" s="5" t="s">
        <v>17</v>
      </c>
      <c r="C9" s="5">
        <v>0.86546184738955823</v>
      </c>
      <c r="D9" s="12">
        <v>413</v>
      </c>
      <c r="E9" s="12"/>
      <c r="F9" s="12">
        <v>0.92343387470997684</v>
      </c>
      <c r="G9" s="12">
        <v>406</v>
      </c>
      <c r="H9" s="12"/>
      <c r="I9" s="12">
        <v>1.0628140703517588</v>
      </c>
      <c r="J9" s="12">
        <v>422</v>
      </c>
      <c r="K9" s="12"/>
      <c r="L9" s="12">
        <v>1.3404255319148937</v>
      </c>
      <c r="M9" s="12">
        <v>390</v>
      </c>
      <c r="N9" s="12"/>
      <c r="O9" s="12"/>
      <c r="P9" s="12">
        <v>0.59964726631393295</v>
      </c>
      <c r="Q9" s="12">
        <v>561</v>
      </c>
      <c r="R9" s="12"/>
      <c r="S9" s="12"/>
      <c r="T9" s="12">
        <v>0.87352941176470589</v>
      </c>
      <c r="U9" s="12">
        <v>267</v>
      </c>
      <c r="V9" s="12"/>
      <c r="W9" s="12"/>
      <c r="X9" s="12">
        <v>0.77777777777777779</v>
      </c>
      <c r="Y9" s="12">
        <v>204</v>
      </c>
      <c r="Z9" s="12"/>
      <c r="AA9" s="12"/>
      <c r="AB9" s="12">
        <v>1.0432900432900434</v>
      </c>
      <c r="AC9" s="12">
        <v>204</v>
      </c>
      <c r="AD9" s="12"/>
      <c r="AE9" s="12"/>
      <c r="AF9" s="12">
        <v>1.8298755186721991</v>
      </c>
      <c r="AG9" s="13">
        <v>998</v>
      </c>
      <c r="AH9" s="13"/>
      <c r="AI9" s="13"/>
      <c r="AJ9" s="13">
        <v>0.46258503401360546</v>
      </c>
      <c r="AK9" s="12">
        <v>407</v>
      </c>
      <c r="AL9" s="12"/>
      <c r="AM9" s="12"/>
      <c r="AN9" s="12">
        <v>1.5098039215686274</v>
      </c>
      <c r="AO9" s="12">
        <v>488</v>
      </c>
      <c r="AP9" s="12"/>
      <c r="AQ9" s="12"/>
      <c r="AR9" s="12">
        <v>1.5779220779220779</v>
      </c>
      <c r="AS9" s="12">
        <v>565</v>
      </c>
    </row>
    <row r="10" spans="1:46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2"/>
    </row>
    <row r="11" spans="1:46" ht="22.5" customHeight="1">
      <c r="A11" s="28"/>
      <c r="B11" s="4"/>
      <c r="C11" s="4">
        <v>29.021660649819495</v>
      </c>
      <c r="D11" s="12">
        <v>2794</v>
      </c>
      <c r="E11" s="12"/>
      <c r="F11" s="12">
        <v>0.34556536882696853</v>
      </c>
      <c r="G11" s="12">
        <v>2406</v>
      </c>
      <c r="H11" s="12"/>
      <c r="I11" s="12">
        <v>0.93844492440604754</v>
      </c>
      <c r="J11" s="12">
        <v>1699</v>
      </c>
      <c r="K11" s="12"/>
      <c r="L11" s="12">
        <v>0.74338319907940165</v>
      </c>
      <c r="M11" s="12">
        <v>2454</v>
      </c>
      <c r="N11" s="12"/>
      <c r="O11" s="12"/>
      <c r="P11" s="12">
        <v>0.41228070175438597</v>
      </c>
      <c r="Q11" s="12">
        <v>235</v>
      </c>
      <c r="R11" s="12"/>
      <c r="S11" s="12"/>
      <c r="T11" s="12">
        <v>0.23904881101376721</v>
      </c>
      <c r="U11" s="12">
        <v>162</v>
      </c>
      <c r="V11" s="12"/>
      <c r="W11" s="12"/>
      <c r="X11" s="12">
        <v>0.86910994764397909</v>
      </c>
      <c r="Y11" s="12">
        <v>86</v>
      </c>
      <c r="Z11" s="12"/>
      <c r="AA11" s="12"/>
      <c r="AB11" s="12">
        <v>1.2469879518072289</v>
      </c>
      <c r="AC11" s="12">
        <v>243</v>
      </c>
      <c r="AD11" s="12"/>
      <c r="AE11" s="12"/>
      <c r="AF11" s="12">
        <v>2.3429951690821258</v>
      </c>
      <c r="AG11" s="13">
        <v>161</v>
      </c>
      <c r="AH11" s="13"/>
      <c r="AI11" s="13"/>
      <c r="AJ11" s="13">
        <v>2.1773195876288658</v>
      </c>
      <c r="AK11" s="12">
        <v>177</v>
      </c>
      <c r="AL11" s="12"/>
      <c r="AM11" s="12"/>
      <c r="AN11" s="12">
        <v>1.6325757575757576</v>
      </c>
      <c r="AO11" s="12">
        <v>1104</v>
      </c>
      <c r="AP11" s="12"/>
      <c r="AQ11" s="12"/>
      <c r="AR11" s="12">
        <v>1.1664733178654292</v>
      </c>
      <c r="AS11" s="12">
        <v>3225</v>
      </c>
    </row>
    <row r="12" spans="1:46" ht="22.5" customHeight="1">
      <c r="A12" s="33" t="s">
        <v>18</v>
      </c>
      <c r="B12" s="34"/>
      <c r="C12" s="25"/>
      <c r="D12" s="10">
        <f t="shared" ref="D12:AS12" si="1">SUM(D5:D9,D11)</f>
        <v>1798806</v>
      </c>
      <c r="E12" s="10"/>
      <c r="F12" s="10"/>
      <c r="G12" s="15">
        <f t="shared" si="1"/>
        <v>1541689</v>
      </c>
      <c r="H12" s="15"/>
      <c r="I12" s="15"/>
      <c r="J12" s="15">
        <f>SUM(J5:J9,J11)</f>
        <v>1628468</v>
      </c>
      <c r="K12" s="15"/>
      <c r="L12" s="15"/>
      <c r="M12" s="15">
        <f>SUM(M5:M9,M11)</f>
        <v>1247597</v>
      </c>
      <c r="N12" s="15"/>
      <c r="O12" s="15"/>
      <c r="P12" s="15"/>
      <c r="Q12" s="10">
        <f>SUM(Q5:Q9,Q11)</f>
        <v>983207</v>
      </c>
      <c r="R12" s="10"/>
      <c r="S12" s="10"/>
      <c r="T12" s="10"/>
      <c r="U12" s="10">
        <f t="shared" si="1"/>
        <v>994193</v>
      </c>
      <c r="V12" s="10"/>
      <c r="W12" s="10"/>
      <c r="X12" s="10"/>
      <c r="Y12" s="10">
        <f t="shared" si="1"/>
        <v>891204</v>
      </c>
      <c r="Z12" s="10"/>
      <c r="AA12" s="10"/>
      <c r="AB12" s="10"/>
      <c r="AC12" s="10">
        <f t="shared" si="1"/>
        <v>944448</v>
      </c>
      <c r="AD12" s="10"/>
      <c r="AE12" s="10"/>
      <c r="AF12" s="10"/>
      <c r="AG12" s="10">
        <f t="shared" si="1"/>
        <v>1083753</v>
      </c>
      <c r="AH12" s="10"/>
      <c r="AI12" s="10"/>
      <c r="AJ12" s="10"/>
      <c r="AK12" s="10">
        <f t="shared" si="1"/>
        <v>1255245</v>
      </c>
      <c r="AL12" s="10"/>
      <c r="AM12" s="10"/>
      <c r="AN12" s="10"/>
      <c r="AO12" s="10">
        <f t="shared" si="1"/>
        <v>1535553</v>
      </c>
      <c r="AP12" s="10"/>
      <c r="AQ12" s="10"/>
      <c r="AR12" s="10"/>
      <c r="AS12" s="10">
        <f t="shared" si="1"/>
        <v>1905091</v>
      </c>
    </row>
  </sheetData>
  <mergeCells count="5">
    <mergeCell ref="A2:AS2"/>
    <mergeCell ref="A4:A11"/>
    <mergeCell ref="B4:AS4"/>
    <mergeCell ref="B10:AS10"/>
    <mergeCell ref="A12:B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5" sqref="E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20" style="1" customWidth="1"/>
    <col min="4" max="6" width="20" style="16" customWidth="1"/>
    <col min="7" max="14" width="20" style="1" customWidth="1"/>
    <col min="15" max="16384" width="9.140625" style="1"/>
  </cols>
  <sheetData>
    <row r="2" spans="1:14" ht="42.75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31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17" t="s">
        <v>14</v>
      </c>
      <c r="C5" s="12">
        <f>568820+179459+1134010</f>
        <v>1882289</v>
      </c>
      <c r="D5" s="12">
        <f>453763+144891+989767</f>
        <v>1588421</v>
      </c>
      <c r="E5" s="12">
        <f>547278+1070734</f>
        <v>1618012</v>
      </c>
      <c r="F5" s="12">
        <f>513321+1023838</f>
        <v>1537159</v>
      </c>
      <c r="G5" s="12">
        <f>238872+928508</f>
        <v>1167380</v>
      </c>
      <c r="H5" s="18">
        <f>840451+153008</f>
        <v>993459</v>
      </c>
      <c r="I5" s="18">
        <f>899925+167479</f>
        <v>1067404</v>
      </c>
      <c r="J5" s="12">
        <f>944199+142342</f>
        <v>1086541</v>
      </c>
      <c r="K5" s="12">
        <f>917404+221304</f>
        <v>1138708</v>
      </c>
      <c r="L5" s="12">
        <f>866505+385313</f>
        <v>1251818</v>
      </c>
      <c r="M5" s="12">
        <f>1021092+595326</f>
        <v>1616418</v>
      </c>
      <c r="N5" s="12">
        <f>1119443+765443</f>
        <v>1884886</v>
      </c>
    </row>
    <row r="6" spans="1:14" ht="22.5" customHeight="1">
      <c r="A6" s="28"/>
      <c r="B6" s="17" t="s">
        <v>19</v>
      </c>
      <c r="C6" s="22"/>
      <c r="D6" s="13"/>
      <c r="E6" s="13"/>
      <c r="F6" s="13"/>
      <c r="G6" s="13"/>
      <c r="H6" s="13"/>
      <c r="I6" s="13"/>
      <c r="J6" s="13"/>
      <c r="K6" s="22"/>
      <c r="L6" s="13"/>
      <c r="M6" s="13"/>
      <c r="N6" s="22"/>
    </row>
    <row r="7" spans="1:14" ht="22.5" customHeight="1">
      <c r="A7" s="28"/>
      <c r="B7" s="5" t="s">
        <v>15</v>
      </c>
      <c r="C7" s="12">
        <v>11791</v>
      </c>
      <c r="D7" s="12">
        <v>10414</v>
      </c>
      <c r="E7" s="12">
        <v>11970</v>
      </c>
      <c r="F7" s="12">
        <v>9949</v>
      </c>
      <c r="G7" s="12">
        <v>14576</v>
      </c>
      <c r="H7" s="12">
        <v>7629</v>
      </c>
      <c r="I7" s="12">
        <v>6597</v>
      </c>
      <c r="J7" s="12">
        <v>7089</v>
      </c>
      <c r="K7" s="13">
        <v>9968</v>
      </c>
      <c r="L7" s="12">
        <v>14471</v>
      </c>
      <c r="M7" s="12">
        <v>7543</v>
      </c>
      <c r="N7" s="12">
        <v>12915</v>
      </c>
    </row>
    <row r="8" spans="1:14" ht="22.5" customHeight="1">
      <c r="A8" s="28"/>
      <c r="B8" s="5" t="s">
        <v>16</v>
      </c>
      <c r="C8" s="12">
        <v>138858</v>
      </c>
      <c r="D8" s="12">
        <v>102987</v>
      </c>
      <c r="E8" s="12">
        <v>94813</v>
      </c>
      <c r="F8" s="12">
        <v>66112</v>
      </c>
      <c r="G8" s="12">
        <v>35447</v>
      </c>
      <c r="H8" s="12">
        <v>21406</v>
      </c>
      <c r="I8" s="12">
        <v>15679</v>
      </c>
      <c r="J8" s="12">
        <v>27754</v>
      </c>
      <c r="K8" s="13">
        <v>30941</v>
      </c>
      <c r="L8" s="12">
        <v>64881</v>
      </c>
      <c r="M8" s="12">
        <v>93413</v>
      </c>
      <c r="N8" s="12">
        <v>83671</v>
      </c>
    </row>
    <row r="9" spans="1:14" ht="22.5" customHeight="1">
      <c r="A9" s="28"/>
      <c r="B9" s="5" t="s">
        <v>17</v>
      </c>
      <c r="C9" s="12">
        <v>484</v>
      </c>
      <c r="D9" s="12">
        <v>396</v>
      </c>
      <c r="E9" s="12">
        <v>398</v>
      </c>
      <c r="F9" s="12">
        <v>374</v>
      </c>
      <c r="G9" s="12">
        <v>659</v>
      </c>
      <c r="H9" s="12">
        <v>233</v>
      </c>
      <c r="I9" s="12">
        <v>256</v>
      </c>
      <c r="J9" s="12">
        <v>261</v>
      </c>
      <c r="K9" s="13">
        <v>656</v>
      </c>
      <c r="L9" s="12">
        <v>273</v>
      </c>
      <c r="M9" s="12">
        <v>418</v>
      </c>
      <c r="N9" s="12">
        <v>517</v>
      </c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12">
        <v>2432</v>
      </c>
      <c r="D11" s="13">
        <v>2666</v>
      </c>
      <c r="E11" s="12">
        <v>2188</v>
      </c>
      <c r="F11" s="12">
        <v>1946</v>
      </c>
      <c r="G11" s="12">
        <v>1440</v>
      </c>
      <c r="H11" s="12">
        <v>189</v>
      </c>
      <c r="I11" s="12">
        <v>144</v>
      </c>
      <c r="J11" s="12">
        <v>222</v>
      </c>
      <c r="K11" s="13">
        <v>196</v>
      </c>
      <c r="L11" s="12">
        <v>239</v>
      </c>
      <c r="M11" s="12">
        <v>1808</v>
      </c>
      <c r="N11" s="12">
        <v>3719</v>
      </c>
    </row>
    <row r="12" spans="1:14" ht="22.5" customHeight="1">
      <c r="A12" s="33" t="s">
        <v>18</v>
      </c>
      <c r="B12" s="34"/>
      <c r="C12" s="10">
        <f t="shared" ref="C12:N12" si="0">SUM(C5:C9,C11)</f>
        <v>2035854</v>
      </c>
      <c r="D12" s="15">
        <f t="shared" si="0"/>
        <v>1704884</v>
      </c>
      <c r="E12" s="15">
        <f>SUM(E5:E9,E11)</f>
        <v>1727381</v>
      </c>
      <c r="F12" s="15">
        <f>SUM(F5:F9,F11)</f>
        <v>1615540</v>
      </c>
      <c r="G12" s="10">
        <f>SUM(G5:G9,G11)</f>
        <v>1219502</v>
      </c>
      <c r="H12" s="10">
        <f t="shared" si="0"/>
        <v>1022916</v>
      </c>
      <c r="I12" s="10">
        <f t="shared" si="0"/>
        <v>1090080</v>
      </c>
      <c r="J12" s="10">
        <f t="shared" si="0"/>
        <v>1121867</v>
      </c>
      <c r="K12" s="10">
        <f t="shared" si="0"/>
        <v>1180469</v>
      </c>
      <c r="L12" s="10">
        <f t="shared" si="0"/>
        <v>1331682</v>
      </c>
      <c r="M12" s="10">
        <f t="shared" si="0"/>
        <v>1719600</v>
      </c>
      <c r="N12" s="10">
        <f t="shared" si="0"/>
        <v>1985708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abSelected="1" zoomScale="70" zoomScaleNormal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E6" sqref="E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20" style="1" customWidth="1"/>
    <col min="4" max="6" width="20" style="16" customWidth="1"/>
    <col min="7" max="14" width="20" style="1" customWidth="1"/>
    <col min="15" max="16384" width="9.140625" style="1"/>
  </cols>
  <sheetData>
    <row r="2" spans="1:14" ht="42.7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31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17" t="s">
        <v>14</v>
      </c>
      <c r="C5" s="12">
        <f>747806+1058565</f>
        <v>1806371</v>
      </c>
      <c r="D5" s="12">
        <f>721784+1038248</f>
        <v>1760032</v>
      </c>
      <c r="E5" s="12">
        <f>1005761+620105</f>
        <v>1625866</v>
      </c>
      <c r="F5" s="12"/>
      <c r="G5" s="12"/>
      <c r="H5" s="18"/>
      <c r="I5" s="18"/>
      <c r="J5" s="12"/>
      <c r="K5" s="12"/>
      <c r="L5" s="12"/>
      <c r="M5" s="12"/>
      <c r="N5" s="12"/>
    </row>
    <row r="6" spans="1:14" ht="22.5" customHeight="1">
      <c r="A6" s="28"/>
      <c r="B6" s="17" t="s">
        <v>19</v>
      </c>
      <c r="C6" s="22"/>
      <c r="D6" s="13"/>
      <c r="E6" s="13"/>
      <c r="F6" s="13"/>
      <c r="G6" s="13"/>
      <c r="H6" s="13"/>
      <c r="I6" s="13"/>
      <c r="J6" s="13"/>
      <c r="K6" s="22"/>
      <c r="L6" s="13"/>
      <c r="M6" s="13"/>
      <c r="N6" s="22"/>
    </row>
    <row r="7" spans="1:14" ht="22.5" customHeight="1">
      <c r="A7" s="28"/>
      <c r="B7" s="5" t="s">
        <v>15</v>
      </c>
      <c r="C7" s="12">
        <v>11175</v>
      </c>
      <c r="D7" s="12">
        <v>9375</v>
      </c>
      <c r="E7" s="12">
        <v>9766</v>
      </c>
      <c r="F7" s="12"/>
      <c r="G7" s="12"/>
      <c r="H7" s="12"/>
      <c r="I7" s="12"/>
      <c r="J7" s="12"/>
      <c r="K7" s="13"/>
      <c r="L7" s="12"/>
      <c r="M7" s="12"/>
      <c r="N7" s="12"/>
    </row>
    <row r="8" spans="1:14" ht="22.5" customHeight="1">
      <c r="A8" s="28"/>
      <c r="B8" s="5" t="s">
        <v>16</v>
      </c>
      <c r="C8" s="12">
        <v>93058</v>
      </c>
      <c r="D8" s="12">
        <v>85270</v>
      </c>
      <c r="E8" s="12">
        <v>72418</v>
      </c>
      <c r="F8" s="12"/>
      <c r="G8" s="12"/>
      <c r="H8" s="12"/>
      <c r="I8" s="12"/>
      <c r="J8" s="12"/>
      <c r="K8" s="13"/>
      <c r="L8" s="12"/>
      <c r="M8" s="12"/>
      <c r="N8" s="12"/>
    </row>
    <row r="9" spans="1:14" ht="22.5" customHeight="1">
      <c r="A9" s="28"/>
      <c r="B9" s="5" t="s">
        <v>17</v>
      </c>
      <c r="C9" s="12">
        <v>487</v>
      </c>
      <c r="D9" s="12">
        <v>489</v>
      </c>
      <c r="E9" s="12">
        <v>513</v>
      </c>
      <c r="F9" s="12"/>
      <c r="G9" s="12"/>
      <c r="H9" s="12"/>
      <c r="I9" s="12"/>
      <c r="J9" s="12"/>
      <c r="K9" s="13"/>
      <c r="L9" s="12"/>
      <c r="M9" s="12"/>
      <c r="N9" s="12"/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12">
        <v>3073</v>
      </c>
      <c r="D11" s="13">
        <v>4198</v>
      </c>
      <c r="E11" s="12">
        <v>3929</v>
      </c>
      <c r="F11" s="12"/>
      <c r="G11" s="12"/>
      <c r="H11" s="12"/>
      <c r="I11" s="12"/>
      <c r="J11" s="12"/>
      <c r="K11" s="13"/>
      <c r="L11" s="12"/>
      <c r="M11" s="12"/>
      <c r="N11" s="12"/>
    </row>
    <row r="12" spans="1:14" ht="22.5" customHeight="1">
      <c r="A12" s="33" t="s">
        <v>18</v>
      </c>
      <c r="B12" s="34"/>
      <c r="C12" s="10">
        <f t="shared" ref="C12:N12" si="0">SUM(C5:C9,C11)</f>
        <v>1914164</v>
      </c>
      <c r="D12" s="15">
        <f t="shared" si="0"/>
        <v>1859364</v>
      </c>
      <c r="E12" s="15">
        <f>SUM(E5:E9,E11)</f>
        <v>1712492</v>
      </c>
      <c r="F12" s="15">
        <f>SUM(F5:F9,F11)</f>
        <v>0</v>
      </c>
      <c r="G12" s="10">
        <f>SUM(G5:G9,G11)</f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5" sqref="B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5" t="s">
        <v>19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409758.60000000102</v>
      </c>
      <c r="J5" s="3">
        <v>432477</v>
      </c>
      <c r="K5" s="3">
        <v>350890</v>
      </c>
      <c r="L5" s="3">
        <v>459917</v>
      </c>
      <c r="M5" s="3">
        <v>488419</v>
      </c>
      <c r="N5" s="3">
        <v>566658</v>
      </c>
    </row>
    <row r="6" spans="1:14" ht="22.5" customHeight="1">
      <c r="A6" s="28"/>
      <c r="B6" s="5" t="s">
        <v>14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1246272</v>
      </c>
      <c r="J6" s="3">
        <v>1123861</v>
      </c>
      <c r="K6" s="3">
        <v>1119398</v>
      </c>
      <c r="L6" s="3">
        <v>1176293</v>
      </c>
      <c r="M6" s="3">
        <v>1219239</v>
      </c>
      <c r="N6" s="3">
        <v>1346312</v>
      </c>
    </row>
    <row r="7" spans="1:14" ht="22.5" customHeight="1">
      <c r="A7" s="28"/>
      <c r="B7" s="5" t="s">
        <v>15</v>
      </c>
      <c r="C7" s="3">
        <v>423463</v>
      </c>
      <c r="D7" s="3">
        <v>401597</v>
      </c>
      <c r="E7" s="3">
        <v>372868</v>
      </c>
      <c r="F7" s="3">
        <v>352004</v>
      </c>
      <c r="G7" s="3">
        <v>353360</v>
      </c>
      <c r="H7" s="3">
        <v>362565</v>
      </c>
      <c r="I7" s="3">
        <v>392953</v>
      </c>
      <c r="J7" s="3">
        <v>328927</v>
      </c>
      <c r="K7" s="3">
        <v>366769</v>
      </c>
      <c r="L7" s="3">
        <v>391027</v>
      </c>
      <c r="M7" s="3">
        <v>389187</v>
      </c>
      <c r="N7" s="3">
        <v>451964</v>
      </c>
    </row>
    <row r="8" spans="1:14" ht="22.5" customHeight="1">
      <c r="A8" s="28"/>
      <c r="B8" s="5" t="s">
        <v>16</v>
      </c>
      <c r="C8" s="3">
        <v>207</v>
      </c>
      <c r="D8" s="3">
        <v>9</v>
      </c>
      <c r="E8" s="3">
        <v>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ht="22.5" customHeight="1">
      <c r="A9" s="28"/>
      <c r="B9" s="5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30.75" customHeight="1">
      <c r="A12" s="29"/>
      <c r="B12" s="6" t="s">
        <v>18</v>
      </c>
      <c r="C12" s="3">
        <f t="shared" ref="C12:N12" si="0">SUM(C5:C9,C11)</f>
        <v>423670</v>
      </c>
      <c r="D12" s="3">
        <f t="shared" si="0"/>
        <v>401606</v>
      </c>
      <c r="E12" s="3">
        <f t="shared" si="0"/>
        <v>372870</v>
      </c>
      <c r="F12" s="3">
        <f t="shared" si="0"/>
        <v>352004</v>
      </c>
      <c r="G12" s="3">
        <f t="shared" si="0"/>
        <v>353360</v>
      </c>
      <c r="H12" s="3">
        <f t="shared" si="0"/>
        <v>362565</v>
      </c>
      <c r="I12" s="3">
        <f t="shared" si="0"/>
        <v>2048983.600000001</v>
      </c>
      <c r="J12" s="3">
        <f t="shared" si="0"/>
        <v>1885265</v>
      </c>
      <c r="K12" s="3">
        <f t="shared" si="0"/>
        <v>1837057</v>
      </c>
      <c r="L12" s="3">
        <f t="shared" si="0"/>
        <v>2027237</v>
      </c>
      <c r="M12" s="3">
        <f t="shared" si="0"/>
        <v>2096845</v>
      </c>
      <c r="N12" s="3">
        <f t="shared" si="0"/>
        <v>2364934</v>
      </c>
    </row>
    <row r="13" spans="1:14" ht="22.5" customHeight="1">
      <c r="A13" s="33" t="s">
        <v>18</v>
      </c>
      <c r="B13" s="34"/>
      <c r="C13" s="10">
        <f>C12</f>
        <v>423670</v>
      </c>
      <c r="D13" s="10">
        <f t="shared" ref="D13:N13" si="1">D12</f>
        <v>401606</v>
      </c>
      <c r="E13" s="10">
        <f t="shared" si="1"/>
        <v>372870</v>
      </c>
      <c r="F13" s="10">
        <f t="shared" si="1"/>
        <v>352004</v>
      </c>
      <c r="G13" s="10">
        <f t="shared" si="1"/>
        <v>353360</v>
      </c>
      <c r="H13" s="10">
        <f t="shared" si="1"/>
        <v>362565</v>
      </c>
      <c r="I13" s="10">
        <f t="shared" si="1"/>
        <v>2048983.600000001</v>
      </c>
      <c r="J13" s="10">
        <f t="shared" si="1"/>
        <v>1885265</v>
      </c>
      <c r="K13" s="10">
        <f t="shared" si="1"/>
        <v>1837057</v>
      </c>
      <c r="L13" s="10">
        <f t="shared" si="1"/>
        <v>2027237</v>
      </c>
      <c r="M13" s="10">
        <f t="shared" si="1"/>
        <v>2096845</v>
      </c>
      <c r="N13" s="10">
        <f t="shared" si="1"/>
        <v>2364934</v>
      </c>
    </row>
  </sheetData>
  <mergeCells count="5">
    <mergeCell ref="A2:N2"/>
    <mergeCell ref="A4:A12"/>
    <mergeCell ref="B4:N4"/>
    <mergeCell ref="B10:N10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0" zoomScaleNormal="70" workbookViewId="0">
      <selection sqref="A1:XFD104857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5" t="s">
        <v>19</v>
      </c>
      <c r="C5" s="3">
        <v>503125</v>
      </c>
      <c r="D5" s="3">
        <v>339037</v>
      </c>
      <c r="E5" s="3">
        <v>454488</v>
      </c>
      <c r="F5" s="3">
        <v>332054</v>
      </c>
      <c r="G5" s="3">
        <v>344976</v>
      </c>
      <c r="H5" s="3">
        <v>383894</v>
      </c>
      <c r="I5" s="3">
        <v>431912</v>
      </c>
      <c r="J5" s="3">
        <v>433060</v>
      </c>
      <c r="K5" s="3">
        <v>338932</v>
      </c>
      <c r="L5" s="3">
        <v>266633</v>
      </c>
      <c r="M5" s="3">
        <v>413735</v>
      </c>
      <c r="N5" s="3">
        <v>518534</v>
      </c>
    </row>
    <row r="6" spans="1:14" ht="22.5" customHeight="1">
      <c r="A6" s="28"/>
      <c r="B6" s="5" t="s">
        <v>14</v>
      </c>
      <c r="C6" s="3">
        <v>1266174</v>
      </c>
      <c r="D6" s="3">
        <v>1199515</v>
      </c>
      <c r="E6" s="3">
        <v>1160090</v>
      </c>
      <c r="F6" s="3">
        <v>1005424</v>
      </c>
      <c r="G6" s="3">
        <v>1040473</v>
      </c>
      <c r="H6" s="3">
        <v>949180</v>
      </c>
      <c r="I6" s="3">
        <v>1106029</v>
      </c>
      <c r="J6" s="3">
        <v>1140886</v>
      </c>
      <c r="K6" s="12">
        <v>1036297</v>
      </c>
      <c r="L6" s="12">
        <v>1187179</v>
      </c>
      <c r="M6" s="3">
        <v>1231375</v>
      </c>
      <c r="N6" s="3">
        <v>1206622</v>
      </c>
    </row>
    <row r="7" spans="1:14" ht="22.5" customHeight="1">
      <c r="A7" s="28"/>
      <c r="B7" s="5" t="s">
        <v>15</v>
      </c>
      <c r="C7" s="3">
        <v>437736</v>
      </c>
      <c r="D7" s="3">
        <v>389058</v>
      </c>
      <c r="E7" s="3">
        <v>416978</v>
      </c>
      <c r="F7" s="3">
        <v>330837</v>
      </c>
      <c r="G7" s="3">
        <v>316269</v>
      </c>
      <c r="H7" s="3">
        <v>326953</v>
      </c>
      <c r="I7" s="3">
        <v>442745.99999999977</v>
      </c>
      <c r="J7" s="3">
        <v>368097.00000000012</v>
      </c>
      <c r="K7" s="12">
        <v>396979.00000000012</v>
      </c>
      <c r="L7" s="12">
        <v>407135</v>
      </c>
      <c r="M7" s="3">
        <v>476123</v>
      </c>
      <c r="N7" s="3">
        <v>472746</v>
      </c>
    </row>
    <row r="8" spans="1:14" ht="22.5" customHeight="1">
      <c r="A8" s="28"/>
      <c r="B8" s="5" t="s">
        <v>16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28"/>
      <c r="B9" s="5" t="s">
        <v>17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2.5" customHeight="1">
      <c r="A12" s="33" t="s">
        <v>18</v>
      </c>
      <c r="B12" s="34"/>
      <c r="C12" s="10">
        <f t="shared" ref="C12:N12" si="0">SUM(C5:C9,C11)</f>
        <v>2207035</v>
      </c>
      <c r="D12" s="10">
        <f t="shared" si="0"/>
        <v>1927610</v>
      </c>
      <c r="E12" s="10">
        <f t="shared" si="0"/>
        <v>2031556</v>
      </c>
      <c r="F12" s="10">
        <f t="shared" si="0"/>
        <v>1668315</v>
      </c>
      <c r="G12" s="10">
        <f t="shared" si="0"/>
        <v>1701718</v>
      </c>
      <c r="H12" s="10">
        <f t="shared" si="0"/>
        <v>1660027</v>
      </c>
      <c r="I12" s="10">
        <f t="shared" si="0"/>
        <v>1980686.9999999998</v>
      </c>
      <c r="J12" s="10">
        <f t="shared" si="0"/>
        <v>1942043</v>
      </c>
      <c r="K12" s="10">
        <f t="shared" si="0"/>
        <v>1772208</v>
      </c>
      <c r="L12" s="10">
        <f t="shared" si="0"/>
        <v>1860947</v>
      </c>
      <c r="M12" s="10">
        <f t="shared" si="0"/>
        <v>2121233</v>
      </c>
      <c r="N12" s="10">
        <f t="shared" si="0"/>
        <v>2197902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60" zoomScaleNormal="60" workbookViewId="0">
      <pane xSplit="2" ySplit="4" topLeftCell="J5" activePane="bottomRight" state="frozen"/>
      <selection pane="topRight" activeCell="C1" sqref="C1"/>
      <selection pane="bottomLeft" activeCell="A5" sqref="A5"/>
      <selection pane="bottomRight" activeCell="K22" sqref="K22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6" customWidth="1"/>
    <col min="5" max="5" width="16.42578125" style="16" customWidth="1"/>
    <col min="6" max="6" width="15.85546875" style="16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5" t="s">
        <v>19</v>
      </c>
      <c r="C5" s="13">
        <f>'[1]Томская область'!$U$4</f>
        <v>545473</v>
      </c>
      <c r="D5" s="13">
        <f>'[1]Томская область'!$U$7</f>
        <v>552537</v>
      </c>
      <c r="E5" s="13">
        <f>'[1]Томская область'!$U$10</f>
        <v>565066</v>
      </c>
      <c r="F5" s="13">
        <f>'[1]Томская область'!$U$13</f>
        <v>434257</v>
      </c>
      <c r="G5" s="13">
        <v>472446</v>
      </c>
      <c r="H5" s="13">
        <v>400921</v>
      </c>
      <c r="I5" s="13">
        <v>390037</v>
      </c>
      <c r="J5" s="12">
        <v>418131</v>
      </c>
      <c r="K5" s="13">
        <v>373703</v>
      </c>
      <c r="L5" s="13">
        <v>394674</v>
      </c>
      <c r="M5" s="13">
        <v>486840</v>
      </c>
      <c r="N5" s="13">
        <v>570652</v>
      </c>
    </row>
    <row r="6" spans="1:14" ht="22.5" customHeight="1">
      <c r="A6" s="28"/>
      <c r="B6" s="5" t="s">
        <v>14</v>
      </c>
      <c r="C6" s="13">
        <f>'[1]Томская область'!$U$3</f>
        <v>1307366</v>
      </c>
      <c r="D6" s="13">
        <f>'[1]Томская область'!$U$6</f>
        <v>1133008</v>
      </c>
      <c r="E6" s="13">
        <f>'[1]Томская область'!$U$9</f>
        <v>1214661</v>
      </c>
      <c r="F6" s="13">
        <f>'[1]Томская область'!$U$12</f>
        <v>1181752</v>
      </c>
      <c r="G6" s="13">
        <v>1070829</v>
      </c>
      <c r="H6" s="13">
        <v>839324</v>
      </c>
      <c r="I6" s="13">
        <v>834653</v>
      </c>
      <c r="J6" s="12">
        <v>960730</v>
      </c>
      <c r="K6" s="13">
        <v>1017204</v>
      </c>
      <c r="L6" s="13">
        <v>1099330</v>
      </c>
      <c r="M6" s="13">
        <v>1330881</v>
      </c>
      <c r="N6" s="13">
        <v>1480240</v>
      </c>
    </row>
    <row r="7" spans="1:14" ht="22.5" customHeight="1">
      <c r="A7" s="28"/>
      <c r="B7" s="5" t="s">
        <v>15</v>
      </c>
      <c r="C7" s="12">
        <v>496700</v>
      </c>
      <c r="D7" s="13">
        <v>486221</v>
      </c>
      <c r="E7" s="13">
        <v>444121</v>
      </c>
      <c r="F7" s="13">
        <v>376032</v>
      </c>
      <c r="G7" s="12">
        <v>395891</v>
      </c>
      <c r="H7" s="12">
        <v>337458</v>
      </c>
      <c r="I7" s="12">
        <v>426344</v>
      </c>
      <c r="J7" s="12">
        <v>407529</v>
      </c>
      <c r="K7" s="12">
        <v>377328</v>
      </c>
      <c r="L7" s="12">
        <v>497481</v>
      </c>
      <c r="M7" s="12">
        <v>538586</v>
      </c>
      <c r="N7" s="12">
        <v>515858</v>
      </c>
    </row>
    <row r="8" spans="1:14" ht="22.5" customHeight="1">
      <c r="A8" s="28"/>
      <c r="B8" s="5" t="s">
        <v>16</v>
      </c>
      <c r="C8" s="12"/>
      <c r="D8" s="13"/>
      <c r="E8" s="13"/>
      <c r="F8" s="13"/>
      <c r="G8" s="12"/>
      <c r="H8" s="12"/>
      <c r="I8" s="12"/>
      <c r="J8" s="12"/>
      <c r="K8" s="12"/>
      <c r="L8" s="12"/>
      <c r="M8" s="12"/>
      <c r="N8" s="12"/>
    </row>
    <row r="9" spans="1:14" ht="22.5" customHeight="1">
      <c r="A9" s="28"/>
      <c r="B9" s="5" t="s">
        <v>17</v>
      </c>
      <c r="C9" s="12"/>
      <c r="D9" s="13"/>
      <c r="E9" s="13"/>
      <c r="F9" s="13"/>
      <c r="G9" s="12"/>
      <c r="H9" s="12"/>
      <c r="I9" s="12"/>
      <c r="J9" s="12"/>
      <c r="K9" s="12"/>
      <c r="L9" s="12"/>
      <c r="M9" s="12"/>
      <c r="N9" s="12"/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12"/>
      <c r="D11" s="13"/>
      <c r="E11" s="13"/>
      <c r="F11" s="13"/>
      <c r="G11" s="12"/>
      <c r="H11" s="12"/>
      <c r="I11" s="12"/>
      <c r="J11" s="12"/>
      <c r="K11" s="12"/>
      <c r="L11" s="12"/>
      <c r="M11" s="12"/>
      <c r="N11" s="12"/>
    </row>
    <row r="12" spans="1:14" ht="22.5" customHeight="1">
      <c r="A12" s="33" t="s">
        <v>18</v>
      </c>
      <c r="B12" s="34"/>
      <c r="C12" s="10">
        <f t="shared" ref="C12:N12" si="0">SUM(C5:C9,C11)</f>
        <v>2349539</v>
      </c>
      <c r="D12" s="15">
        <f t="shared" si="0"/>
        <v>2171766</v>
      </c>
      <c r="E12" s="15">
        <f t="shared" si="0"/>
        <v>2223848</v>
      </c>
      <c r="F12" s="15">
        <f t="shared" si="0"/>
        <v>1992041</v>
      </c>
      <c r="G12" s="10">
        <f t="shared" si="0"/>
        <v>1939166</v>
      </c>
      <c r="H12" s="10">
        <f t="shared" si="0"/>
        <v>1577703</v>
      </c>
      <c r="I12" s="10">
        <f t="shared" si="0"/>
        <v>1651034</v>
      </c>
      <c r="J12" s="10">
        <f t="shared" si="0"/>
        <v>1786390</v>
      </c>
      <c r="K12" s="10">
        <f t="shared" si="0"/>
        <v>1768235</v>
      </c>
      <c r="L12" s="10">
        <f t="shared" si="0"/>
        <v>1991485</v>
      </c>
      <c r="M12" s="10">
        <f t="shared" si="0"/>
        <v>2356307</v>
      </c>
      <c r="N12" s="10">
        <f t="shared" si="0"/>
        <v>2566750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topLeftCell="H1" zoomScale="70" zoomScaleNormal="70" workbookViewId="0">
      <selection activeCell="J5" sqref="J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hidden="1" customWidth="1"/>
    <col min="4" max="4" width="16.7109375" style="16" hidden="1" customWidth="1"/>
    <col min="5" max="5" width="16.42578125" style="16" hidden="1" customWidth="1"/>
    <col min="6" max="6" width="15.85546875" style="16" hidden="1" customWidth="1"/>
    <col min="7" max="7" width="17.85546875" style="1" hidden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17" t="s">
        <v>14</v>
      </c>
      <c r="C5" s="13">
        <f>1346721+843818</f>
        <v>2190539</v>
      </c>
      <c r="D5" s="13">
        <f>1172914+774626</f>
        <v>1947540</v>
      </c>
      <c r="E5" s="13">
        <f>1247096+591391</f>
        <v>1838487</v>
      </c>
      <c r="F5" s="13">
        <f>1166444+479216</f>
        <v>1645660</v>
      </c>
      <c r="G5" s="13">
        <f>1094882+335617</f>
        <v>1430499</v>
      </c>
      <c r="H5" s="13">
        <f>984710+278136</f>
        <v>1262846</v>
      </c>
      <c r="I5" s="13">
        <f>1109541+183613</f>
        <v>1293154</v>
      </c>
      <c r="J5" s="12">
        <f>1075421+233125</f>
        <v>1308546</v>
      </c>
      <c r="K5" s="12">
        <v>1393458</v>
      </c>
      <c r="L5" s="13">
        <f>1154522+452601</f>
        <v>1607123</v>
      </c>
      <c r="M5" s="13">
        <f>1319372+816178</f>
        <v>2135550</v>
      </c>
      <c r="N5" s="13">
        <v>2180793</v>
      </c>
    </row>
    <row r="6" spans="1:14" ht="22.5" customHeight="1">
      <c r="A6" s="28"/>
      <c r="B6" s="17" t="s">
        <v>19</v>
      </c>
      <c r="C6" s="13">
        <f>538605+333288</f>
        <v>871893</v>
      </c>
      <c r="D6" s="13">
        <f>457069+196437</f>
        <v>653506</v>
      </c>
      <c r="E6" s="13">
        <f>475830+290444</f>
        <v>766274</v>
      </c>
      <c r="F6" s="13">
        <f>428773+187550</f>
        <v>616323</v>
      </c>
      <c r="G6" s="13">
        <f>409015+126364</f>
        <v>535379</v>
      </c>
      <c r="H6" s="13">
        <f>403176+27871</f>
        <v>431047</v>
      </c>
      <c r="I6" s="13"/>
      <c r="J6" s="12"/>
      <c r="K6" s="12"/>
      <c r="L6" s="13"/>
      <c r="M6" s="13"/>
      <c r="N6" s="13"/>
    </row>
    <row r="7" spans="1:14" ht="22.5" customHeight="1">
      <c r="A7" s="28"/>
      <c r="B7" s="5" t="s">
        <v>15</v>
      </c>
      <c r="C7" s="12">
        <f>524692+47490</f>
        <v>572182</v>
      </c>
      <c r="D7" s="12">
        <f>451790+61660</f>
        <v>513450</v>
      </c>
      <c r="E7" s="13">
        <v>37870</v>
      </c>
      <c r="F7" s="13">
        <v>30390</v>
      </c>
      <c r="G7" s="12">
        <v>23210</v>
      </c>
      <c r="H7" s="12">
        <v>13420</v>
      </c>
      <c r="I7" s="12">
        <v>9010</v>
      </c>
      <c r="J7" s="12">
        <v>5130</v>
      </c>
      <c r="K7" s="12">
        <v>18870</v>
      </c>
      <c r="L7" s="12">
        <v>33460</v>
      </c>
      <c r="M7" s="12">
        <v>39300</v>
      </c>
      <c r="N7" s="12">
        <v>47630</v>
      </c>
    </row>
    <row r="8" spans="1:14" ht="22.5" customHeight="1">
      <c r="A8" s="28"/>
      <c r="B8" s="5" t="s">
        <v>16</v>
      </c>
      <c r="C8" s="12">
        <v>144285</v>
      </c>
      <c r="D8" s="13">
        <v>208292</v>
      </c>
      <c r="E8" s="13">
        <v>98843</v>
      </c>
      <c r="F8" s="13">
        <v>80011</v>
      </c>
      <c r="G8" s="12">
        <v>43204</v>
      </c>
      <c r="H8" s="12">
        <v>47910</v>
      </c>
      <c r="I8" s="12">
        <v>26423</v>
      </c>
      <c r="J8" s="12">
        <v>16684</v>
      </c>
      <c r="K8" s="12">
        <v>42037</v>
      </c>
      <c r="L8" s="12">
        <v>83481</v>
      </c>
      <c r="M8" s="12">
        <v>113097</v>
      </c>
      <c r="N8" s="12">
        <v>137683</v>
      </c>
    </row>
    <row r="9" spans="1:14" ht="22.5" customHeight="1">
      <c r="A9" s="28"/>
      <c r="B9" s="5" t="s">
        <v>17</v>
      </c>
      <c r="C9" s="12">
        <v>264</v>
      </c>
      <c r="D9" s="13">
        <v>171</v>
      </c>
      <c r="E9" s="13">
        <v>852</v>
      </c>
      <c r="F9" s="13">
        <v>602</v>
      </c>
      <c r="G9" s="12">
        <v>515</v>
      </c>
      <c r="H9" s="12">
        <v>505</v>
      </c>
      <c r="I9" s="12">
        <v>399</v>
      </c>
      <c r="J9" s="12">
        <v>403</v>
      </c>
      <c r="K9" s="12">
        <v>795</v>
      </c>
      <c r="L9" s="12">
        <v>601</v>
      </c>
      <c r="M9" s="12">
        <v>748</v>
      </c>
      <c r="N9" s="12">
        <v>685</v>
      </c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12">
        <v>3741</v>
      </c>
      <c r="D11" s="13">
        <v>3768</v>
      </c>
      <c r="E11" s="13">
        <v>3334</v>
      </c>
      <c r="F11" s="13">
        <v>3102</v>
      </c>
      <c r="G11" s="12">
        <v>1283</v>
      </c>
      <c r="H11" s="12">
        <v>837</v>
      </c>
      <c r="I11" s="12">
        <v>592</v>
      </c>
      <c r="J11" s="12">
        <v>583</v>
      </c>
      <c r="K11" s="12">
        <v>1267</v>
      </c>
      <c r="L11" s="12">
        <v>2012</v>
      </c>
      <c r="M11" s="12">
        <v>2229</v>
      </c>
      <c r="N11" s="12">
        <v>3000</v>
      </c>
    </row>
    <row r="12" spans="1:14" ht="22.5" customHeight="1">
      <c r="A12" s="33" t="s">
        <v>18</v>
      </c>
      <c r="B12" s="34"/>
      <c r="C12" s="10">
        <f t="shared" ref="C12:N12" si="0">SUM(C5:C9,C11)</f>
        <v>3782904</v>
      </c>
      <c r="D12" s="15">
        <f t="shared" si="0"/>
        <v>3326727</v>
      </c>
      <c r="E12" s="15">
        <f>SUM(E5:E9,E11)</f>
        <v>2745660</v>
      </c>
      <c r="F12" s="15">
        <f>SUM(F5:F9,F11)</f>
        <v>2376088</v>
      </c>
      <c r="G12" s="10">
        <f>SUM(G5:G9,G11)</f>
        <v>2034090</v>
      </c>
      <c r="H12" s="10">
        <f t="shared" si="0"/>
        <v>1756565</v>
      </c>
      <c r="I12" s="10">
        <f t="shared" ref="I12:J12" si="1">SUM(I5:I9,I11)</f>
        <v>1329578</v>
      </c>
      <c r="J12" s="10">
        <f t="shared" si="1"/>
        <v>1331346</v>
      </c>
      <c r="K12" s="10">
        <f t="shared" ref="K12" si="2">SUM(K5:K9,K11)</f>
        <v>1456427</v>
      </c>
      <c r="L12" s="10">
        <f t="shared" si="0"/>
        <v>1726677</v>
      </c>
      <c r="M12" s="10">
        <f t="shared" si="0"/>
        <v>2290924</v>
      </c>
      <c r="N12" s="10">
        <f t="shared" si="0"/>
        <v>2369791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80" zoomScaleNormal="80" workbookViewId="0">
      <selection activeCell="N5" sqref="N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6" customWidth="1"/>
    <col min="5" max="5" width="16.42578125" style="16" customWidth="1"/>
    <col min="6" max="6" width="15.85546875" style="16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4" ht="22.5" customHeight="1">
      <c r="A5" s="28"/>
      <c r="B5" s="17" t="s">
        <v>14</v>
      </c>
      <c r="C5" s="13">
        <v>1930302</v>
      </c>
      <c r="D5" s="13">
        <v>1714468</v>
      </c>
      <c r="E5" s="13">
        <v>1757317</v>
      </c>
      <c r="F5" s="18">
        <f>507273.334+970971</f>
        <v>1478244.334</v>
      </c>
      <c r="G5" s="13">
        <f>360940+1116820</f>
        <v>1477760</v>
      </c>
      <c r="H5" s="18">
        <f>946986+208183</f>
        <v>1155169</v>
      </c>
      <c r="I5" s="18">
        <f>176084+889109</f>
        <v>1065193</v>
      </c>
      <c r="J5" s="18">
        <f>164513+911078</f>
        <v>1075591</v>
      </c>
      <c r="K5" s="18">
        <f>223187+961578</f>
        <v>1184765</v>
      </c>
      <c r="L5" s="18">
        <f>416772+963343</f>
        <v>1380115</v>
      </c>
      <c r="M5" s="18">
        <f>642323+1087055</f>
        <v>1729378</v>
      </c>
      <c r="N5" s="18">
        <f>724861+1080598</f>
        <v>1805459</v>
      </c>
    </row>
    <row r="6" spans="1:14" ht="22.5" customHeight="1">
      <c r="A6" s="28"/>
      <c r="B6" s="17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2.5" customHeight="1">
      <c r="A7" s="28"/>
      <c r="B7" s="5" t="s">
        <v>15</v>
      </c>
      <c r="C7" s="12">
        <v>50880</v>
      </c>
      <c r="D7" s="12">
        <v>45420</v>
      </c>
      <c r="E7" s="13">
        <v>43160</v>
      </c>
      <c r="F7" s="13">
        <v>34850</v>
      </c>
      <c r="G7" s="12">
        <v>27930</v>
      </c>
      <c r="H7" s="12">
        <v>7860</v>
      </c>
      <c r="I7" s="12">
        <v>7440</v>
      </c>
      <c r="J7" s="12">
        <v>8250</v>
      </c>
      <c r="K7" s="12">
        <v>16350</v>
      </c>
      <c r="L7" s="12">
        <v>20650</v>
      </c>
      <c r="M7" s="12">
        <v>19920</v>
      </c>
      <c r="N7" s="12">
        <v>23750</v>
      </c>
    </row>
    <row r="8" spans="1:14" ht="22.5" customHeight="1">
      <c r="A8" s="28"/>
      <c r="B8" s="5" t="s">
        <v>16</v>
      </c>
      <c r="C8" s="12">
        <v>156638</v>
      </c>
      <c r="D8" s="13">
        <v>125012</v>
      </c>
      <c r="E8" s="13">
        <v>120269</v>
      </c>
      <c r="F8" s="13">
        <v>72519</v>
      </c>
      <c r="G8" s="12">
        <v>48687</v>
      </c>
      <c r="H8" s="12">
        <v>20386</v>
      </c>
      <c r="I8" s="12">
        <v>21632</v>
      </c>
      <c r="J8" s="12">
        <v>21803</v>
      </c>
      <c r="K8" s="12">
        <v>34310</v>
      </c>
      <c r="L8" s="12">
        <v>65180</v>
      </c>
      <c r="M8" s="12">
        <v>109732</v>
      </c>
      <c r="N8" s="12">
        <v>139142</v>
      </c>
    </row>
    <row r="9" spans="1:14" ht="22.5" customHeight="1">
      <c r="A9" s="28"/>
      <c r="B9" s="5" t="s">
        <v>17</v>
      </c>
      <c r="C9" s="12">
        <v>700</v>
      </c>
      <c r="D9" s="13">
        <v>563</v>
      </c>
      <c r="E9" s="13">
        <v>604</v>
      </c>
      <c r="F9" s="13">
        <v>569</v>
      </c>
      <c r="G9" s="12">
        <v>598</v>
      </c>
      <c r="H9" s="12">
        <v>422</v>
      </c>
      <c r="I9" s="12">
        <v>399</v>
      </c>
      <c r="J9" s="12">
        <v>413</v>
      </c>
      <c r="K9" s="12">
        <v>544</v>
      </c>
      <c r="L9" s="12">
        <v>434</v>
      </c>
      <c r="M9" s="12">
        <v>565</v>
      </c>
      <c r="N9" s="12">
        <v>741</v>
      </c>
    </row>
    <row r="10" spans="1:1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ht="22.5" customHeight="1">
      <c r="A11" s="28"/>
      <c r="B11" s="4"/>
      <c r="C11" s="12">
        <v>3963</v>
      </c>
      <c r="D11" s="13">
        <v>3782</v>
      </c>
      <c r="E11" s="13">
        <v>4053</v>
      </c>
      <c r="F11" s="13">
        <v>3910</v>
      </c>
      <c r="G11" s="12">
        <v>2220</v>
      </c>
      <c r="H11" s="12">
        <v>1450</v>
      </c>
      <c r="I11" s="12">
        <v>445</v>
      </c>
      <c r="J11" s="12">
        <v>540</v>
      </c>
      <c r="K11" s="12">
        <v>708</v>
      </c>
      <c r="L11" s="12">
        <v>930</v>
      </c>
      <c r="M11" s="12">
        <v>1259</v>
      </c>
      <c r="N11" s="12">
        <v>1142</v>
      </c>
    </row>
    <row r="12" spans="1:14" ht="22.5" customHeight="1">
      <c r="A12" s="33" t="s">
        <v>18</v>
      </c>
      <c r="B12" s="34"/>
      <c r="C12" s="10">
        <f t="shared" ref="C12:N12" si="0">SUM(C5:C9,C11)</f>
        <v>2142483</v>
      </c>
      <c r="D12" s="15">
        <f t="shared" si="0"/>
        <v>1889245</v>
      </c>
      <c r="E12" s="15">
        <f>SUM(E5:E9,E11)</f>
        <v>1925403</v>
      </c>
      <c r="F12" s="15">
        <f>SUM(F5:F9,F11)</f>
        <v>1590092.334</v>
      </c>
      <c r="G12" s="10">
        <f>SUM(G5:G9,G11)</f>
        <v>1557195</v>
      </c>
      <c r="H12" s="10">
        <f t="shared" si="0"/>
        <v>1185287</v>
      </c>
      <c r="I12" s="10">
        <f t="shared" si="0"/>
        <v>1095109</v>
      </c>
      <c r="J12" s="10">
        <f t="shared" si="0"/>
        <v>1106597</v>
      </c>
      <c r="K12" s="10">
        <f t="shared" si="0"/>
        <v>1236677</v>
      </c>
      <c r="L12" s="10">
        <f t="shared" si="0"/>
        <v>1467309</v>
      </c>
      <c r="M12" s="10">
        <f t="shared" si="0"/>
        <v>1860854</v>
      </c>
      <c r="N12" s="10">
        <f t="shared" si="0"/>
        <v>1970234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C1" zoomScale="75" zoomScaleNormal="75" workbookViewId="0">
      <selection activeCell="N5" sqref="N5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20" style="1" customWidth="1"/>
    <col min="4" max="6" width="20" style="16" customWidth="1"/>
    <col min="7" max="14" width="20" style="1" customWidth="1"/>
    <col min="15" max="15" width="9.140625" style="20"/>
    <col min="16" max="16" width="9.140625" style="1"/>
    <col min="17" max="17" width="10.42578125" style="20" bestFit="1" customWidth="1"/>
    <col min="18" max="16384" width="9.140625" style="1"/>
  </cols>
  <sheetData>
    <row r="2" spans="1:17" ht="42.75" customHeight="1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21"/>
      <c r="Q3" s="21"/>
    </row>
    <row r="4" spans="1:17" ht="22.5" customHeight="1">
      <c r="A4" s="27" t="s">
        <v>20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7" ht="22.5" customHeight="1">
      <c r="A5" s="28"/>
      <c r="B5" s="17" t="s">
        <v>14</v>
      </c>
      <c r="C5" s="13">
        <f>1025133+835717</f>
        <v>1860850</v>
      </c>
      <c r="D5" s="13">
        <f>917986+769687</f>
        <v>1687673</v>
      </c>
      <c r="E5" s="13">
        <f>558164+963698</f>
        <v>1521862</v>
      </c>
      <c r="F5" s="13">
        <f>487425+844361</f>
        <v>1331786</v>
      </c>
      <c r="G5" s="13">
        <f>276827+1050167</f>
        <v>1326994</v>
      </c>
      <c r="H5" s="18">
        <f>182985+956279</f>
        <v>1139264</v>
      </c>
      <c r="I5" s="18">
        <f>121797+934103</f>
        <v>1055900</v>
      </c>
      <c r="J5" s="18">
        <f>154085+821262</f>
        <v>975347</v>
      </c>
      <c r="K5" s="18">
        <f>230372+907115</f>
        <v>1137487</v>
      </c>
      <c r="L5" s="18">
        <f>453749+979018</f>
        <v>1432767</v>
      </c>
      <c r="M5" s="18">
        <f>666696+1107956</f>
        <v>1774652</v>
      </c>
      <c r="N5" s="18">
        <f>696670+1041235</f>
        <v>1737905</v>
      </c>
      <c r="O5" s="20">
        <f>N5/M5</f>
        <v>0.97929340512956908</v>
      </c>
      <c r="Q5" s="19">
        <f>AVERAGE(C5:N5)</f>
        <v>1415207.25</v>
      </c>
    </row>
    <row r="6" spans="1:17" ht="22.5" customHeight="1">
      <c r="A6" s="28"/>
      <c r="B6" s="17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0" t="e">
        <f t="shared" ref="O6" si="0">M6/L6</f>
        <v>#DIV/0!</v>
      </c>
      <c r="Q6" s="19"/>
    </row>
    <row r="7" spans="1:17" ht="22.5" customHeight="1">
      <c r="A7" s="28"/>
      <c r="B7" s="5" t="s">
        <v>15</v>
      </c>
      <c r="C7" s="12">
        <v>22831</v>
      </c>
      <c r="D7" s="12">
        <v>20541</v>
      </c>
      <c r="E7" s="12">
        <v>30749</v>
      </c>
      <c r="F7" s="12">
        <v>22093</v>
      </c>
      <c r="G7" s="12">
        <v>17177</v>
      </c>
      <c r="H7" s="12">
        <v>7349</v>
      </c>
      <c r="I7" s="12">
        <v>8414</v>
      </c>
      <c r="J7" s="12">
        <v>8170</v>
      </c>
      <c r="K7" s="12">
        <v>11696</v>
      </c>
      <c r="L7" s="12">
        <v>19314</v>
      </c>
      <c r="M7" s="12">
        <v>17313</v>
      </c>
      <c r="N7" s="12">
        <v>16665</v>
      </c>
      <c r="O7" s="20">
        <f t="shared" ref="O7:O9" si="1">N7/M7</f>
        <v>0.9625714780800555</v>
      </c>
      <c r="Q7" s="19">
        <f t="shared" ref="Q7:Q11" si="2">AVERAGE(C7:N7)</f>
        <v>16859.333333333332</v>
      </c>
    </row>
    <row r="8" spans="1:17" ht="22.5" customHeight="1">
      <c r="A8" s="28"/>
      <c r="B8" s="5" t="s">
        <v>16</v>
      </c>
      <c r="C8" s="12">
        <v>137475</v>
      </c>
      <c r="D8" s="12">
        <v>125575</v>
      </c>
      <c r="E8" s="12">
        <v>82981</v>
      </c>
      <c r="F8" s="12">
        <v>63422</v>
      </c>
      <c r="G8" s="12">
        <v>36251</v>
      </c>
      <c r="H8" s="12">
        <v>22669</v>
      </c>
      <c r="I8" s="12">
        <v>10338</v>
      </c>
      <c r="J8" s="12">
        <v>21556</v>
      </c>
      <c r="K8" s="12">
        <v>29709</v>
      </c>
      <c r="L8" s="12">
        <v>68754</v>
      </c>
      <c r="M8" s="12">
        <v>110861</v>
      </c>
      <c r="N8" s="12">
        <v>120953</v>
      </c>
      <c r="O8" s="20">
        <f t="shared" si="1"/>
        <v>1.0910329150918718</v>
      </c>
      <c r="Q8" s="19">
        <f t="shared" si="2"/>
        <v>69212</v>
      </c>
    </row>
    <row r="9" spans="1:17" ht="22.5" customHeight="1">
      <c r="A9" s="28"/>
      <c r="B9" s="5" t="s">
        <v>17</v>
      </c>
      <c r="C9" s="12">
        <v>647</v>
      </c>
      <c r="D9" s="12">
        <v>714</v>
      </c>
      <c r="E9" s="12">
        <v>693</v>
      </c>
      <c r="F9" s="12">
        <v>590</v>
      </c>
      <c r="G9" s="12">
        <v>497</v>
      </c>
      <c r="H9" s="12">
        <v>396</v>
      </c>
      <c r="I9" s="12">
        <v>420</v>
      </c>
      <c r="J9" s="12">
        <v>425</v>
      </c>
      <c r="K9" s="12">
        <v>501</v>
      </c>
      <c r="L9" s="12">
        <v>452</v>
      </c>
      <c r="M9" s="12">
        <v>613</v>
      </c>
      <c r="N9" s="12">
        <v>758</v>
      </c>
      <c r="O9" s="20">
        <f t="shared" si="1"/>
        <v>1.2365415986949428</v>
      </c>
      <c r="Q9" s="19">
        <f t="shared" si="2"/>
        <v>558.83333333333337</v>
      </c>
    </row>
    <row r="10" spans="1:17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Q10" s="19"/>
    </row>
    <row r="11" spans="1:17" ht="22.5" customHeight="1">
      <c r="A11" s="28"/>
      <c r="B11" s="4"/>
      <c r="C11" s="12">
        <v>1540</v>
      </c>
      <c r="D11" s="12">
        <v>1405</v>
      </c>
      <c r="E11" s="12">
        <v>1356</v>
      </c>
      <c r="F11" s="12">
        <v>1279</v>
      </c>
      <c r="G11" s="12">
        <v>1040</v>
      </c>
      <c r="H11" s="12">
        <v>748</v>
      </c>
      <c r="I11" s="12">
        <v>4</v>
      </c>
      <c r="J11" s="12">
        <v>1158</v>
      </c>
      <c r="K11" s="12">
        <v>791</v>
      </c>
      <c r="L11" s="12">
        <v>1262</v>
      </c>
      <c r="M11" s="12">
        <v>1177</v>
      </c>
      <c r="N11" s="12">
        <v>177</v>
      </c>
      <c r="O11" s="20">
        <f>N11/M11</f>
        <v>0.1503823279524214</v>
      </c>
      <c r="Q11" s="19">
        <f t="shared" si="2"/>
        <v>994.75</v>
      </c>
    </row>
    <row r="12" spans="1:17" ht="22.5" customHeight="1">
      <c r="A12" s="33" t="s">
        <v>18</v>
      </c>
      <c r="B12" s="34"/>
      <c r="C12" s="10">
        <f t="shared" ref="C12:N12" si="3">SUM(C5:C9,C11)</f>
        <v>2023343</v>
      </c>
      <c r="D12" s="15">
        <f t="shared" si="3"/>
        <v>1835908</v>
      </c>
      <c r="E12" s="15">
        <f>SUM(E5:E9,E11)</f>
        <v>1637641</v>
      </c>
      <c r="F12" s="15">
        <f>SUM(F5:F9,F11)</f>
        <v>1419170</v>
      </c>
      <c r="G12" s="10">
        <f>SUM(G5:G9,G11)</f>
        <v>1381959</v>
      </c>
      <c r="H12" s="10">
        <f t="shared" si="3"/>
        <v>1170426</v>
      </c>
      <c r="I12" s="10">
        <f t="shared" si="3"/>
        <v>1075076</v>
      </c>
      <c r="J12" s="10">
        <f t="shared" si="3"/>
        <v>1006656</v>
      </c>
      <c r="K12" s="10">
        <f t="shared" si="3"/>
        <v>1180184</v>
      </c>
      <c r="L12" s="10">
        <f t="shared" si="3"/>
        <v>1522549</v>
      </c>
      <c r="M12" s="10">
        <f t="shared" si="3"/>
        <v>1904616</v>
      </c>
      <c r="N12" s="10">
        <f t="shared" si="3"/>
        <v>1876458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zoomScale="75" zoomScaleNormal="75" workbookViewId="0">
      <selection activeCell="W11" sqref="W1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20" style="1" customWidth="1"/>
    <col min="4" max="6" width="20" style="16" customWidth="1"/>
    <col min="7" max="7" width="20" style="16" hidden="1" customWidth="1"/>
    <col min="8" max="8" width="20" style="1" customWidth="1"/>
    <col min="9" max="9" width="20" style="1" hidden="1" customWidth="1"/>
    <col min="10" max="10" width="20" style="1" customWidth="1"/>
    <col min="11" max="11" width="20" style="1" hidden="1" customWidth="1"/>
    <col min="12" max="12" width="20" style="1" customWidth="1"/>
    <col min="13" max="13" width="20" style="1" hidden="1" customWidth="1"/>
    <col min="14" max="14" width="20" style="1" customWidth="1"/>
    <col min="15" max="15" width="20" style="1" hidden="1" customWidth="1"/>
    <col min="16" max="16" width="20" style="1" customWidth="1"/>
    <col min="17" max="17" width="20" style="1" hidden="1" customWidth="1"/>
    <col min="18" max="18" width="20" style="1" customWidth="1"/>
    <col min="19" max="19" width="20" style="1" hidden="1" customWidth="1"/>
    <col min="20" max="20" width="20" style="1" customWidth="1"/>
    <col min="21" max="21" width="20" style="1" hidden="1" customWidth="1"/>
    <col min="22" max="22" width="20" style="1" customWidth="1"/>
    <col min="23" max="23" width="9.140625" style="20"/>
    <col min="24" max="16384" width="9.140625" style="1"/>
  </cols>
  <sheetData>
    <row r="2" spans="1:23" ht="42.75" customHeight="1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3" s="2" customFormat="1" ht="33" customHeight="1">
      <c r="A3" s="7" t="s">
        <v>0</v>
      </c>
      <c r="B3" s="8" t="s">
        <v>1</v>
      </c>
      <c r="C3" s="9" t="s">
        <v>2</v>
      </c>
      <c r="D3" s="14" t="s">
        <v>3</v>
      </c>
      <c r="E3" s="14" t="s">
        <v>4</v>
      </c>
      <c r="F3" s="14" t="s">
        <v>5</v>
      </c>
      <c r="G3" s="14"/>
      <c r="H3" s="9" t="s">
        <v>6</v>
      </c>
      <c r="I3" s="9"/>
      <c r="J3" s="9" t="s">
        <v>7</v>
      </c>
      <c r="K3" s="9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21"/>
    </row>
    <row r="4" spans="1:23" ht="22.5" customHeight="1">
      <c r="A4" s="27" t="s">
        <v>31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</row>
    <row r="5" spans="1:23" ht="22.5" customHeight="1">
      <c r="A5" s="28"/>
      <c r="B5" s="17" t="s">
        <v>14</v>
      </c>
      <c r="C5" s="13">
        <f>751048+1082891</f>
        <v>1833939</v>
      </c>
      <c r="D5" s="13">
        <f>970568+648473</f>
        <v>1619041</v>
      </c>
      <c r="E5" s="13">
        <f>1008364+587828</f>
        <v>1596192</v>
      </c>
      <c r="F5" s="13">
        <f>338053+844836</f>
        <v>1182889</v>
      </c>
      <c r="G5" s="13">
        <v>0.99640182431711999</v>
      </c>
      <c r="H5" s="13">
        <f>141202+779947</f>
        <v>921149</v>
      </c>
      <c r="I5" s="13">
        <v>0.85852988031596222</v>
      </c>
      <c r="J5" s="18">
        <f>153048+782495</f>
        <v>935543</v>
      </c>
      <c r="K5" s="18">
        <v>0.92682644233470035</v>
      </c>
      <c r="L5" s="18">
        <f>805651+103460</f>
        <v>909111</v>
      </c>
      <c r="M5" s="18">
        <v>0.92371152571266213</v>
      </c>
      <c r="N5" s="18">
        <f>816621+120679</f>
        <v>937300</v>
      </c>
      <c r="O5" s="18">
        <v>1.1662382721226394</v>
      </c>
      <c r="P5" s="18">
        <f>222104+817028</f>
        <v>1039132</v>
      </c>
      <c r="Q5" s="18">
        <v>1.2595897799271552</v>
      </c>
      <c r="R5" s="18">
        <f>438984+897740</f>
        <v>1336724</v>
      </c>
      <c r="S5" s="18">
        <v>1.2386187007378031</v>
      </c>
      <c r="T5" s="23">
        <f>945135+543859</f>
        <v>1488994</v>
      </c>
      <c r="U5" s="23">
        <v>0.97929340512956908</v>
      </c>
      <c r="V5" s="18">
        <f>1059978+655224</f>
        <v>1715202</v>
      </c>
      <c r="W5" s="24">
        <f>'2021'!C5/'2020'!V5</f>
        <v>1.0721197853080862</v>
      </c>
    </row>
    <row r="6" spans="1:23" ht="22.5" customHeight="1">
      <c r="A6" s="28"/>
      <c r="B6" s="17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22"/>
      <c r="Q6" s="22"/>
      <c r="R6" s="13"/>
      <c r="S6" s="13"/>
      <c r="T6" s="13"/>
      <c r="U6" s="13"/>
      <c r="V6" s="13"/>
    </row>
    <row r="7" spans="1:23" ht="22.5" customHeight="1">
      <c r="A7" s="28"/>
      <c r="B7" s="5" t="s">
        <v>15</v>
      </c>
      <c r="C7" s="12">
        <v>17171</v>
      </c>
      <c r="D7" s="12">
        <v>15928</v>
      </c>
      <c r="E7" s="12">
        <v>19404</v>
      </c>
      <c r="F7" s="12">
        <v>17324</v>
      </c>
      <c r="G7" s="12">
        <v>0.77748608156429644</v>
      </c>
      <c r="H7" s="12">
        <v>9549</v>
      </c>
      <c r="I7" s="12">
        <v>0.42783955289049308</v>
      </c>
      <c r="J7" s="12">
        <v>7453</v>
      </c>
      <c r="K7" s="12">
        <v>1.1449176758742685</v>
      </c>
      <c r="L7" s="12">
        <v>6611</v>
      </c>
      <c r="M7" s="12">
        <v>0.97100071309721891</v>
      </c>
      <c r="N7" s="12">
        <v>8066.0000000000009</v>
      </c>
      <c r="O7" s="12">
        <v>1.4315789473684211</v>
      </c>
      <c r="P7" s="13">
        <v>9035</v>
      </c>
      <c r="Q7" s="13">
        <v>1.6513337893296853</v>
      </c>
      <c r="R7" s="12">
        <v>33738</v>
      </c>
      <c r="S7" s="12">
        <v>0.89639639639639634</v>
      </c>
      <c r="T7" s="12">
        <v>19868</v>
      </c>
      <c r="U7" s="12">
        <v>0.9625714780800555</v>
      </c>
      <c r="V7" s="12">
        <v>35164</v>
      </c>
      <c r="W7" s="20">
        <f>'2021'!C7/'2020'!V7</f>
        <v>1.1757479240131954</v>
      </c>
    </row>
    <row r="8" spans="1:23" ht="22.5" customHeight="1">
      <c r="A8" s="28"/>
      <c r="B8" s="5" t="s">
        <v>16</v>
      </c>
      <c r="C8" s="12">
        <v>130868</v>
      </c>
      <c r="D8" s="12">
        <v>101869</v>
      </c>
      <c r="E8" s="12">
        <v>114805</v>
      </c>
      <c r="F8" s="12">
        <v>78942</v>
      </c>
      <c r="G8" s="12">
        <v>0.5715839929362051</v>
      </c>
      <c r="H8" s="12">
        <v>46511</v>
      </c>
      <c r="I8" s="12">
        <v>0.62533447353176463</v>
      </c>
      <c r="J8" s="12">
        <v>33992</v>
      </c>
      <c r="K8" s="12">
        <v>0.45604128986721953</v>
      </c>
      <c r="L8" s="12">
        <v>51958</v>
      </c>
      <c r="M8" s="12">
        <v>2.0851228477461792</v>
      </c>
      <c r="N8" s="12">
        <v>42843</v>
      </c>
      <c r="O8" s="12">
        <v>1.3782241603265912</v>
      </c>
      <c r="P8" s="13">
        <v>64346</v>
      </c>
      <c r="Q8" s="13">
        <v>2.3142482076138542</v>
      </c>
      <c r="R8" s="12">
        <v>108275</v>
      </c>
      <c r="S8" s="12">
        <v>1.6124298222648865</v>
      </c>
      <c r="T8" s="12">
        <v>124277</v>
      </c>
      <c r="U8" s="12">
        <v>1.0910329150918718</v>
      </c>
      <c r="V8" s="12">
        <v>164661</v>
      </c>
      <c r="W8" s="20">
        <f>'2021'!C8/'2020'!V8</f>
        <v>1.4020199075676694</v>
      </c>
    </row>
    <row r="9" spans="1:23" ht="22.5" customHeight="1">
      <c r="A9" s="28"/>
      <c r="B9" s="5" t="s">
        <v>17</v>
      </c>
      <c r="C9" s="12">
        <v>698</v>
      </c>
      <c r="D9" s="12">
        <v>649</v>
      </c>
      <c r="E9" s="12">
        <v>798</v>
      </c>
      <c r="F9" s="12">
        <v>573</v>
      </c>
      <c r="G9" s="12">
        <v>0.84237288135593225</v>
      </c>
      <c r="H9" s="12">
        <v>486</v>
      </c>
      <c r="I9" s="12">
        <v>0.79678068410462777</v>
      </c>
      <c r="J9" s="12">
        <v>426</v>
      </c>
      <c r="K9" s="12">
        <v>1.0606060606060606</v>
      </c>
      <c r="L9" s="12">
        <v>436</v>
      </c>
      <c r="M9" s="12">
        <v>1.0119047619047619</v>
      </c>
      <c r="N9" s="12">
        <v>416</v>
      </c>
      <c r="O9" s="12">
        <v>1.1788235294117646</v>
      </c>
      <c r="P9" s="13">
        <v>573</v>
      </c>
      <c r="Q9" s="13">
        <v>0.9021956087824351</v>
      </c>
      <c r="R9" s="12">
        <v>388</v>
      </c>
      <c r="S9" s="12">
        <v>1.3561946902654867</v>
      </c>
      <c r="T9" s="12">
        <v>390</v>
      </c>
      <c r="U9" s="12">
        <v>1.2365415986949428</v>
      </c>
      <c r="V9" s="12">
        <v>498</v>
      </c>
      <c r="W9" s="20">
        <f>'2021'!C9/'2020'!V9</f>
        <v>0.86546184738955823</v>
      </c>
    </row>
    <row r="10" spans="1:23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2"/>
    </row>
    <row r="11" spans="1:23" ht="22.5" customHeight="1">
      <c r="A11" s="28"/>
      <c r="B11" s="4"/>
      <c r="C11" s="12">
        <v>236</v>
      </c>
      <c r="D11" s="12">
        <v>226</v>
      </c>
      <c r="E11" s="12">
        <v>179</v>
      </c>
      <c r="F11" s="12">
        <v>174</v>
      </c>
      <c r="G11" s="12">
        <v>0.81313526192337759</v>
      </c>
      <c r="H11" s="12">
        <v>150</v>
      </c>
      <c r="I11" s="12">
        <v>0.71923076923076923</v>
      </c>
      <c r="J11" s="12">
        <v>156</v>
      </c>
      <c r="K11" s="12">
        <v>5.3475935828877002E-3</v>
      </c>
      <c r="L11" s="12">
        <v>150</v>
      </c>
      <c r="M11" s="12">
        <f>L11/J11</f>
        <v>0.96153846153846156</v>
      </c>
      <c r="N11" s="12">
        <f>L11*M11</f>
        <v>144.23076923076923</v>
      </c>
      <c r="O11" s="12">
        <v>0.68307426597582033</v>
      </c>
      <c r="P11" s="13">
        <v>155</v>
      </c>
      <c r="Q11" s="13">
        <v>1.5954487989886219</v>
      </c>
      <c r="R11" s="12">
        <v>144</v>
      </c>
      <c r="S11" s="12">
        <v>0.93264659270998418</v>
      </c>
      <c r="T11" s="12">
        <v>216</v>
      </c>
      <c r="U11" s="12">
        <v>0.1503823279524214</v>
      </c>
      <c r="V11" s="12">
        <v>277</v>
      </c>
      <c r="W11" s="20">
        <f>'2021'!C11/'2020'!V11</f>
        <v>29.021660649819495</v>
      </c>
    </row>
    <row r="12" spans="1:23" ht="22.5" customHeight="1">
      <c r="A12" s="33" t="s">
        <v>18</v>
      </c>
      <c r="B12" s="34"/>
      <c r="C12" s="10">
        <f t="shared" ref="C12:V12" si="0">SUM(C5:C9,C11)</f>
        <v>1982912</v>
      </c>
      <c r="D12" s="15">
        <f t="shared" si="0"/>
        <v>1737713</v>
      </c>
      <c r="E12" s="15">
        <f>SUM(E5:E9,E11)</f>
        <v>1731378</v>
      </c>
      <c r="F12" s="15">
        <f>SUM(F5:F9,F11)</f>
        <v>1279902</v>
      </c>
      <c r="G12" s="15"/>
      <c r="H12" s="10">
        <f>SUM(H5:H9,H11)</f>
        <v>977845</v>
      </c>
      <c r="I12" s="10"/>
      <c r="J12" s="10">
        <f t="shared" si="0"/>
        <v>977570</v>
      </c>
      <c r="K12" s="10"/>
      <c r="L12" s="10">
        <f t="shared" si="0"/>
        <v>968266</v>
      </c>
      <c r="M12" s="10"/>
      <c r="N12" s="10">
        <f t="shared" si="0"/>
        <v>988769.23076923075</v>
      </c>
      <c r="O12" s="10"/>
      <c r="P12" s="10">
        <f t="shared" si="0"/>
        <v>1113241</v>
      </c>
      <c r="Q12" s="10"/>
      <c r="R12" s="10">
        <f t="shared" si="0"/>
        <v>1479269</v>
      </c>
      <c r="S12" s="10"/>
      <c r="T12" s="10">
        <f t="shared" si="0"/>
        <v>1633745</v>
      </c>
      <c r="U12" s="10"/>
      <c r="V12" s="10">
        <f t="shared" si="0"/>
        <v>1915802</v>
      </c>
    </row>
  </sheetData>
  <mergeCells count="5">
    <mergeCell ref="A2:V2"/>
    <mergeCell ref="A4:A11"/>
    <mergeCell ref="B4:V4"/>
    <mergeCell ref="B10:V10"/>
    <mergeCell ref="A12:B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1" sqref="AH1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20" style="1" customWidth="1"/>
    <col min="4" max="4" width="20" style="1" hidden="1" customWidth="1"/>
    <col min="5" max="5" width="20" style="16" customWidth="1"/>
    <col min="6" max="6" width="20" style="16" hidden="1" customWidth="1"/>
    <col min="7" max="7" width="20" style="16" customWidth="1"/>
    <col min="8" max="8" width="20" style="16" hidden="1" customWidth="1"/>
    <col min="9" max="9" width="20" style="16" customWidth="1"/>
    <col min="10" max="11" width="20" style="16" hidden="1" customWidth="1"/>
    <col min="12" max="12" width="20" style="1" customWidth="1"/>
    <col min="13" max="14" width="20" style="1" hidden="1" customWidth="1"/>
    <col min="15" max="15" width="20" style="1" customWidth="1"/>
    <col min="16" max="17" width="20" style="1" hidden="1" customWidth="1"/>
    <col min="18" max="18" width="20" style="1" customWidth="1"/>
    <col min="19" max="20" width="20" style="1" hidden="1" customWidth="1"/>
    <col min="21" max="21" width="20" style="1" customWidth="1"/>
    <col min="22" max="23" width="20" style="1" hidden="1" customWidth="1"/>
    <col min="24" max="24" width="20" style="1" customWidth="1"/>
    <col min="25" max="26" width="20" style="1" hidden="1" customWidth="1"/>
    <col min="27" max="27" width="20" style="1" customWidth="1"/>
    <col min="28" max="29" width="20" style="1" hidden="1" customWidth="1"/>
    <col min="30" max="30" width="20" style="1" customWidth="1"/>
    <col min="31" max="32" width="20" style="1" hidden="1" customWidth="1"/>
    <col min="33" max="33" width="20" style="1" customWidth="1"/>
    <col min="34" max="34" width="9.140625" style="20"/>
    <col min="35" max="16384" width="9.140625" style="1"/>
  </cols>
  <sheetData>
    <row r="2" spans="1:34" ht="42.75" customHeight="1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4" s="2" customFormat="1" ht="33" customHeight="1">
      <c r="A3" s="7" t="s">
        <v>0</v>
      </c>
      <c r="B3" s="8" t="s">
        <v>1</v>
      </c>
      <c r="C3" s="9" t="s">
        <v>2</v>
      </c>
      <c r="D3" s="9"/>
      <c r="E3" s="14" t="s">
        <v>3</v>
      </c>
      <c r="F3" s="14"/>
      <c r="G3" s="14" t="s">
        <v>4</v>
      </c>
      <c r="H3" s="14"/>
      <c r="I3" s="14" t="s">
        <v>5</v>
      </c>
      <c r="J3" s="14"/>
      <c r="K3" s="14"/>
      <c r="L3" s="9" t="s">
        <v>6</v>
      </c>
      <c r="M3" s="9"/>
      <c r="N3" s="9"/>
      <c r="O3" s="9" t="s">
        <v>7</v>
      </c>
      <c r="P3" s="9"/>
      <c r="Q3" s="9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21"/>
    </row>
    <row r="4" spans="1:34" ht="22.5" customHeight="1">
      <c r="A4" s="27" t="s">
        <v>31</v>
      </c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</row>
    <row r="5" spans="1:34" ht="22.5" customHeight="1">
      <c r="A5" s="28"/>
      <c r="B5" s="17" t="s">
        <v>14</v>
      </c>
      <c r="C5" s="13">
        <f>734841+1104061</f>
        <v>1838902</v>
      </c>
      <c r="D5" s="13">
        <v>0.88282162056644198</v>
      </c>
      <c r="E5" s="13">
        <f>886384+533592</f>
        <v>1419976</v>
      </c>
      <c r="F5" s="13">
        <v>0.98588732465700379</v>
      </c>
      <c r="G5" s="13">
        <f>571257+1004502</f>
        <v>1575759</v>
      </c>
      <c r="H5" s="13">
        <v>0.74106937010083995</v>
      </c>
      <c r="I5" s="13">
        <f>384429+890654</f>
        <v>1275083</v>
      </c>
      <c r="J5" s="13"/>
      <c r="K5" s="13">
        <v>0.77872818159607538</v>
      </c>
      <c r="L5" s="13">
        <f>207111+956222</f>
        <v>1163333</v>
      </c>
      <c r="M5" s="13"/>
      <c r="N5" s="13">
        <v>1.0156261364882337</v>
      </c>
      <c r="O5" s="18">
        <f>164835+868479</f>
        <v>1033314</v>
      </c>
      <c r="P5" s="18"/>
      <c r="Q5" s="18">
        <v>0.97174688923972496</v>
      </c>
      <c r="R5" s="18">
        <f>115481+901585</f>
        <v>1017066</v>
      </c>
      <c r="S5" s="18"/>
      <c r="T5" s="18">
        <v>1.0310072147405542</v>
      </c>
      <c r="U5" s="18">
        <f>886359+136011</f>
        <v>1022370</v>
      </c>
      <c r="V5" s="18"/>
      <c r="W5" s="18">
        <v>1.1086439773818415</v>
      </c>
      <c r="X5" s="18">
        <f>783986+234494</f>
        <v>1018480</v>
      </c>
      <c r="Y5" s="18"/>
      <c r="Z5" s="18">
        <v>1.2863851753194011</v>
      </c>
      <c r="AA5" s="18">
        <f>796058+436082</f>
        <v>1232140</v>
      </c>
      <c r="AB5" s="18"/>
      <c r="AC5" s="18">
        <v>1.1139128196995041</v>
      </c>
      <c r="AD5" s="23">
        <f>811373+579943</f>
        <v>1391316</v>
      </c>
      <c r="AE5" s="23"/>
      <c r="AF5" s="23">
        <v>1.1519200211686549</v>
      </c>
      <c r="AG5" s="18">
        <f>906187+671424</f>
        <v>1577611</v>
      </c>
      <c r="AH5" s="24">
        <f>'2022'!D5/'2021'!AG5</f>
        <v>1.0222520000177484</v>
      </c>
    </row>
    <row r="6" spans="1:34" ht="22.5" customHeight="1">
      <c r="A6" s="28"/>
      <c r="B6" s="17" t="s">
        <v>19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2"/>
      <c r="Y6" s="22"/>
      <c r="Z6" s="22"/>
      <c r="AA6" s="13"/>
      <c r="AB6" s="13"/>
      <c r="AC6" s="13"/>
      <c r="AD6" s="13"/>
      <c r="AE6" s="13"/>
      <c r="AF6" s="13"/>
      <c r="AG6" s="22"/>
    </row>
    <row r="7" spans="1:34" ht="22.5" customHeight="1">
      <c r="A7" s="28"/>
      <c r="B7" s="5" t="s">
        <v>15</v>
      </c>
      <c r="C7" s="12">
        <v>41344</v>
      </c>
      <c r="D7" s="12">
        <v>0.92761050608584239</v>
      </c>
      <c r="E7" s="12">
        <v>37114</v>
      </c>
      <c r="F7" s="12">
        <v>1.218232044198895</v>
      </c>
      <c r="G7" s="12">
        <v>32511.000000000004</v>
      </c>
      <c r="H7" s="12">
        <v>0.8928056070913214</v>
      </c>
      <c r="I7" s="12">
        <v>20418</v>
      </c>
      <c r="J7" s="12"/>
      <c r="K7" s="12">
        <v>0.55120064650196254</v>
      </c>
      <c r="L7" s="12">
        <v>11831</v>
      </c>
      <c r="M7" s="12"/>
      <c r="N7" s="12">
        <v>0.7805005759765421</v>
      </c>
      <c r="O7" s="12">
        <v>8249</v>
      </c>
      <c r="P7" s="12"/>
      <c r="Q7" s="12">
        <v>0.88702535891587275</v>
      </c>
      <c r="R7" s="12">
        <v>7262</v>
      </c>
      <c r="S7" s="12"/>
      <c r="T7" s="12">
        <v>1.2200877325669339</v>
      </c>
      <c r="U7" s="12">
        <v>7401</v>
      </c>
      <c r="V7" s="12"/>
      <c r="W7" s="12">
        <v>1.1201338953632531</v>
      </c>
      <c r="X7" s="13">
        <v>11744</v>
      </c>
      <c r="Y7" s="13"/>
      <c r="Z7" s="13">
        <v>3.7341449916989484</v>
      </c>
      <c r="AA7" s="12">
        <v>8621</v>
      </c>
      <c r="AB7" s="12"/>
      <c r="AC7" s="12">
        <v>0.58889086490011266</v>
      </c>
      <c r="AD7" s="12">
        <v>9841</v>
      </c>
      <c r="AE7" s="12"/>
      <c r="AF7" s="12">
        <v>1.76988121602577</v>
      </c>
      <c r="AG7" s="13">
        <v>11337</v>
      </c>
      <c r="AH7" s="20">
        <f>'2022'!D7/'2021'!AG7</f>
        <v>1.2816441739437241</v>
      </c>
    </row>
    <row r="8" spans="1:34" ht="22.5" customHeight="1">
      <c r="A8" s="28"/>
      <c r="B8" s="5" t="s">
        <v>16</v>
      </c>
      <c r="C8" s="12">
        <v>230858</v>
      </c>
      <c r="D8" s="12">
        <v>0.77841030656845067</v>
      </c>
      <c r="E8" s="12">
        <v>160841</v>
      </c>
      <c r="F8" s="12">
        <v>1.1269866200708754</v>
      </c>
      <c r="G8" s="12">
        <v>148545</v>
      </c>
      <c r="H8" s="12">
        <v>0.68761813509864556</v>
      </c>
      <c r="I8" s="12">
        <v>93319</v>
      </c>
      <c r="J8" s="12"/>
      <c r="K8" s="12">
        <v>0.58917939753236559</v>
      </c>
      <c r="L8" s="12">
        <v>48884</v>
      </c>
      <c r="M8" s="12"/>
      <c r="N8" s="12">
        <v>0.73083786631119518</v>
      </c>
      <c r="O8" s="12">
        <v>43432</v>
      </c>
      <c r="P8" s="12"/>
      <c r="Q8" s="12">
        <v>1.5285361261473287</v>
      </c>
      <c r="R8" s="12">
        <v>48747</v>
      </c>
      <c r="S8" s="12"/>
      <c r="T8" s="12">
        <v>0.82456984487470653</v>
      </c>
      <c r="U8" s="12">
        <v>44605</v>
      </c>
      <c r="V8" s="12"/>
      <c r="W8" s="12">
        <v>1.5019022944238265</v>
      </c>
      <c r="X8" s="13">
        <v>69032</v>
      </c>
      <c r="Y8" s="13"/>
      <c r="Z8" s="13">
        <v>1.6826997793180618</v>
      </c>
      <c r="AA8" s="12">
        <v>90705</v>
      </c>
      <c r="AB8" s="12"/>
      <c r="AC8" s="12">
        <v>1.1477903486492727</v>
      </c>
      <c r="AD8" s="12">
        <v>128405</v>
      </c>
      <c r="AE8" s="12"/>
      <c r="AF8" s="12">
        <v>1.3249515195893045</v>
      </c>
      <c r="AG8" s="13">
        <v>149306</v>
      </c>
      <c r="AH8" s="20">
        <f>'2022'!D8/'2021'!AG8</f>
        <v>1.1275702249072375</v>
      </c>
    </row>
    <row r="9" spans="1:34" ht="22.5" customHeight="1">
      <c r="A9" s="28"/>
      <c r="B9" s="5" t="s">
        <v>17</v>
      </c>
      <c r="C9" s="12">
        <v>431</v>
      </c>
      <c r="D9" s="12">
        <v>0.92979942693409745</v>
      </c>
      <c r="E9" s="12">
        <v>398</v>
      </c>
      <c r="F9" s="12">
        <v>1.2295839753466873</v>
      </c>
      <c r="G9" s="12">
        <v>423</v>
      </c>
      <c r="H9" s="12">
        <v>0.71804511278195493</v>
      </c>
      <c r="I9" s="12">
        <v>567</v>
      </c>
      <c r="J9" s="12"/>
      <c r="K9" s="12">
        <v>0.84816753926701571</v>
      </c>
      <c r="L9" s="12">
        <v>340</v>
      </c>
      <c r="M9" s="12"/>
      <c r="N9" s="12">
        <v>0.87654320987654322</v>
      </c>
      <c r="O9" s="12">
        <v>297</v>
      </c>
      <c r="P9" s="12"/>
      <c r="Q9" s="12">
        <v>1.0234741784037558</v>
      </c>
      <c r="R9" s="12">
        <v>231</v>
      </c>
      <c r="S9" s="12"/>
      <c r="T9" s="12">
        <v>0.95412844036697253</v>
      </c>
      <c r="U9" s="12">
        <v>241</v>
      </c>
      <c r="V9" s="12"/>
      <c r="W9" s="12">
        <v>1.3774038461538463</v>
      </c>
      <c r="X9" s="13">
        <v>441</v>
      </c>
      <c r="Y9" s="13"/>
      <c r="Z9" s="13">
        <v>0.67713787085514832</v>
      </c>
      <c r="AA9" s="12">
        <v>204</v>
      </c>
      <c r="AB9" s="12"/>
      <c r="AC9" s="12">
        <v>1.0051546391752577</v>
      </c>
      <c r="AD9" s="12">
        <v>308</v>
      </c>
      <c r="AE9" s="12"/>
      <c r="AF9" s="12">
        <v>1.2769230769230768</v>
      </c>
      <c r="AG9" s="13">
        <v>486</v>
      </c>
      <c r="AH9" s="20">
        <f>'2022'!D9/'2021'!AG9</f>
        <v>0.84979423868312753</v>
      </c>
    </row>
    <row r="10" spans="1:34" ht="22.5" customHeight="1">
      <c r="A10" s="28"/>
      <c r="B10" s="30" t="s">
        <v>24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4" ht="22.5" customHeight="1">
      <c r="A11" s="28"/>
      <c r="B11" s="4"/>
      <c r="C11" s="12">
        <v>8039</v>
      </c>
      <c r="D11" s="12">
        <v>0.9576271186440678</v>
      </c>
      <c r="E11" s="12">
        <v>2778</v>
      </c>
      <c r="F11" s="12">
        <v>0.79203539823008851</v>
      </c>
      <c r="G11" s="12">
        <v>2607</v>
      </c>
      <c r="H11" s="12">
        <v>0.97206703910614523</v>
      </c>
      <c r="I11" s="12">
        <v>1938</v>
      </c>
      <c r="J11" s="12"/>
      <c r="K11" s="12">
        <v>0.86206896551724133</v>
      </c>
      <c r="L11" s="12">
        <v>799</v>
      </c>
      <c r="M11" s="12"/>
      <c r="N11" s="12">
        <v>1.04</v>
      </c>
      <c r="O11" s="12">
        <v>191</v>
      </c>
      <c r="P11" s="12"/>
      <c r="Q11" s="12">
        <v>0.96153846153846156</v>
      </c>
      <c r="R11" s="12">
        <v>166</v>
      </c>
      <c r="S11" s="12"/>
      <c r="T11" s="12">
        <v>0.96153846153846156</v>
      </c>
      <c r="U11" s="12">
        <v>207</v>
      </c>
      <c r="V11" s="12"/>
      <c r="W11" s="12">
        <v>1.0746666666666667</v>
      </c>
      <c r="X11" s="13">
        <v>485</v>
      </c>
      <c r="Y11" s="13"/>
      <c r="Z11" s="13">
        <v>0.92903225806451617</v>
      </c>
      <c r="AA11" s="12">
        <v>1056</v>
      </c>
      <c r="AB11" s="12"/>
      <c r="AC11" s="12">
        <v>1.5</v>
      </c>
      <c r="AD11" s="12">
        <v>1724</v>
      </c>
      <c r="AE11" s="12"/>
      <c r="AF11" s="12">
        <v>1.2824074074074074</v>
      </c>
      <c r="AG11" s="13">
        <v>2011</v>
      </c>
      <c r="AH11" s="20">
        <f>'2022'!D11/'2021'!AG11</f>
        <v>1.389358528095475</v>
      </c>
    </row>
    <row r="12" spans="1:34" ht="22.5" customHeight="1">
      <c r="A12" s="33" t="s">
        <v>18</v>
      </c>
      <c r="B12" s="34"/>
      <c r="C12" s="10">
        <f t="shared" ref="C12:AG12" si="0">SUM(C5:C9,C11)</f>
        <v>2119574</v>
      </c>
      <c r="D12" s="10"/>
      <c r="E12" s="15">
        <f t="shared" si="0"/>
        <v>1621107</v>
      </c>
      <c r="F12" s="15"/>
      <c r="G12" s="15">
        <f>SUM(G5:G9,G11)</f>
        <v>1759845</v>
      </c>
      <c r="H12" s="15"/>
      <c r="I12" s="15">
        <f>SUM(I5:I9,I11)</f>
        <v>1391325</v>
      </c>
      <c r="J12" s="15"/>
      <c r="K12" s="15"/>
      <c r="L12" s="10">
        <f>SUM(L5:L9,L11)</f>
        <v>1225187</v>
      </c>
      <c r="M12" s="10"/>
      <c r="N12" s="10"/>
      <c r="O12" s="10">
        <f t="shared" si="0"/>
        <v>1085483</v>
      </c>
      <c r="P12" s="10"/>
      <c r="Q12" s="10"/>
      <c r="R12" s="10">
        <f t="shared" si="0"/>
        <v>1073472</v>
      </c>
      <c r="S12" s="10"/>
      <c r="T12" s="10"/>
      <c r="U12" s="10">
        <f t="shared" si="0"/>
        <v>1074824</v>
      </c>
      <c r="V12" s="10"/>
      <c r="W12" s="10"/>
      <c r="X12" s="10">
        <f t="shared" si="0"/>
        <v>1100182</v>
      </c>
      <c r="Y12" s="10"/>
      <c r="Z12" s="10"/>
      <c r="AA12" s="10">
        <f t="shared" si="0"/>
        <v>1332726</v>
      </c>
      <c r="AB12" s="10"/>
      <c r="AC12" s="10"/>
      <c r="AD12" s="10">
        <f t="shared" si="0"/>
        <v>1531594</v>
      </c>
      <c r="AE12" s="10"/>
      <c r="AF12" s="10"/>
      <c r="AG12" s="10">
        <f t="shared" si="0"/>
        <v>1740751</v>
      </c>
    </row>
  </sheetData>
  <mergeCells count="5">
    <mergeCell ref="A2:AG2"/>
    <mergeCell ref="A4:A11"/>
    <mergeCell ref="B4:AG4"/>
    <mergeCell ref="B10:AG10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Пагуба Светлана Витальевна</cp:lastModifiedBy>
  <dcterms:created xsi:type="dcterms:W3CDTF">2013-11-13T16:10:49Z</dcterms:created>
  <dcterms:modified xsi:type="dcterms:W3CDTF">2024-04-18T12:16:51Z</dcterms:modified>
</cp:coreProperties>
</file>