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-15" yWindow="225" windowWidth="10200" windowHeight="751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N12" i="16" l="1"/>
  <c r="M12" i="16"/>
  <c r="L12" i="16"/>
  <c r="K12" i="16"/>
  <c r="J12" i="16"/>
  <c r="I12" i="16"/>
  <c r="H12" i="16"/>
  <c r="G12" i="16"/>
  <c r="F12" i="16"/>
  <c r="E12" i="16"/>
  <c r="D12" i="16"/>
  <c r="C12" i="16"/>
  <c r="AH11" i="13" l="1"/>
  <c r="AH9" i="13"/>
  <c r="AH8" i="13"/>
  <c r="AH7" i="13"/>
  <c r="AH6" i="13"/>
  <c r="K12" i="15"/>
  <c r="G12" i="15"/>
  <c r="N12" i="15"/>
  <c r="M12" i="15"/>
  <c r="L12" i="15"/>
  <c r="J12" i="15"/>
  <c r="I12" i="15"/>
  <c r="H12" i="15"/>
  <c r="F12" i="15"/>
  <c r="E12" i="15"/>
  <c r="D12" i="15"/>
  <c r="C12" i="15" l="1"/>
  <c r="AS6" i="14"/>
  <c r="AO6" i="14" l="1"/>
  <c r="AK6" i="14" l="1"/>
  <c r="AG6" i="14" l="1"/>
  <c r="AC6" i="14" l="1"/>
  <c r="U6" i="14" l="1"/>
  <c r="Y6" i="14"/>
  <c r="Q6" i="14" l="1"/>
  <c r="M6" i="14" l="1"/>
  <c r="M11" i="14" l="1"/>
  <c r="J6" i="14" l="1"/>
  <c r="G6" i="14" l="1"/>
  <c r="D6" i="14" l="1"/>
  <c r="W12" i="12" l="1"/>
  <c r="W10" i="12"/>
  <c r="W9" i="12"/>
  <c r="W8" i="12"/>
  <c r="W7" i="12"/>
  <c r="AS12" i="14"/>
  <c r="AO12" i="14"/>
  <c r="AK12" i="14"/>
  <c r="AG12" i="14"/>
  <c r="AC12" i="14"/>
  <c r="Y12" i="14"/>
  <c r="U12" i="14"/>
  <c r="Q12" i="14"/>
  <c r="M12" i="14"/>
  <c r="J12" i="14"/>
  <c r="G12" i="14"/>
  <c r="D12" i="14"/>
  <c r="AG6" i="13" l="1"/>
  <c r="AD6" i="13" l="1"/>
  <c r="AA6" i="13"/>
  <c r="X6" i="13"/>
  <c r="U6" i="13"/>
  <c r="R6" i="13"/>
  <c r="O6" i="13"/>
  <c r="L6" i="13"/>
  <c r="I6" i="13"/>
  <c r="G6" i="13"/>
  <c r="E6" i="13"/>
  <c r="C6" i="13"/>
  <c r="AG12" i="13"/>
  <c r="AD12" i="13"/>
  <c r="AA12" i="13"/>
  <c r="X12" i="13"/>
  <c r="U12" i="13"/>
  <c r="R12" i="13"/>
  <c r="O12" i="13"/>
  <c r="L12" i="13"/>
  <c r="I12" i="13"/>
  <c r="G12" i="13"/>
  <c r="E12" i="13"/>
  <c r="C12" i="13"/>
  <c r="V7" i="12"/>
  <c r="O12" i="11"/>
  <c r="O10" i="11"/>
  <c r="O9" i="11"/>
  <c r="O8" i="11"/>
  <c r="T7" i="12"/>
  <c r="R7" i="12"/>
  <c r="P7" i="12"/>
  <c r="N7" i="12"/>
  <c r="L7" i="12"/>
  <c r="J7" i="12"/>
  <c r="H7" i="12"/>
  <c r="F7" i="12"/>
  <c r="E7" i="12"/>
  <c r="D7" i="12"/>
  <c r="Q8" i="11"/>
  <c r="Q9" i="11"/>
  <c r="Q10" i="11"/>
  <c r="Q12" i="11"/>
  <c r="C7" i="12"/>
  <c r="V13" i="12"/>
  <c r="T13" i="12"/>
  <c r="R13" i="12"/>
  <c r="P13" i="12"/>
  <c r="N13" i="12"/>
  <c r="L13" i="12"/>
  <c r="J13" i="12"/>
  <c r="H13" i="12"/>
  <c r="F13" i="12"/>
  <c r="E13" i="12"/>
  <c r="D13" i="12"/>
  <c r="C13" i="12"/>
  <c r="N7" i="11"/>
  <c r="M7" i="11"/>
  <c r="O7" i="11"/>
  <c r="L7" i="11"/>
  <c r="K7" i="11"/>
  <c r="J7" i="11"/>
  <c r="I7" i="11"/>
  <c r="H7" i="11"/>
  <c r="G7" i="11"/>
  <c r="F7" i="11"/>
  <c r="E7" i="11"/>
  <c r="D7" i="11"/>
  <c r="C7" i="11"/>
  <c r="Q7" i="11"/>
  <c r="E13" i="11"/>
  <c r="D13" i="11"/>
  <c r="C13" i="11"/>
  <c r="M13" i="11"/>
  <c r="I13" i="11"/>
  <c r="N13" i="11"/>
  <c r="J13" i="11"/>
  <c r="F13" i="11"/>
  <c r="L13" i="11"/>
  <c r="K13" i="11"/>
  <c r="H13" i="11"/>
  <c r="G13" i="11"/>
  <c r="N10" i="10"/>
  <c r="N9" i="10"/>
  <c r="N7" i="10"/>
  <c r="M10" i="10"/>
  <c r="M9" i="10"/>
  <c r="M7" i="10"/>
  <c r="L10" i="10"/>
  <c r="L9" i="10"/>
  <c r="L7" i="10"/>
  <c r="K10" i="10"/>
  <c r="K9" i="10"/>
  <c r="K7" i="10"/>
  <c r="J10" i="10"/>
  <c r="J9" i="10"/>
  <c r="J7" i="10"/>
  <c r="I10" i="10"/>
  <c r="I9" i="10"/>
  <c r="I7" i="10"/>
  <c r="H10" i="10"/>
  <c r="H9" i="10"/>
  <c r="H7" i="10"/>
  <c r="G10" i="10"/>
  <c r="G9" i="10"/>
  <c r="G7" i="10"/>
  <c r="F10" i="10"/>
  <c r="F9" i="10"/>
  <c r="F7" i="10"/>
  <c r="K13" i="10"/>
  <c r="J13" i="10"/>
  <c r="I13" i="10"/>
  <c r="H13" i="10"/>
  <c r="G13" i="10"/>
  <c r="F13" i="10"/>
  <c r="E13" i="10"/>
  <c r="D13" i="10"/>
  <c r="C13" i="10"/>
  <c r="N13" i="10"/>
  <c r="M13" i="10"/>
  <c r="L13" i="10"/>
  <c r="N10" i="9"/>
  <c r="N9" i="9"/>
  <c r="N7" i="9"/>
  <c r="M10" i="9"/>
  <c r="M9" i="9"/>
  <c r="M7" i="9"/>
  <c r="L10" i="9"/>
  <c r="L9" i="9"/>
  <c r="L7" i="9"/>
  <c r="K13" i="9"/>
  <c r="J13" i="9"/>
  <c r="G13" i="9"/>
  <c r="N13" i="9"/>
  <c r="M13" i="9"/>
  <c r="L13" i="9"/>
  <c r="I13" i="9"/>
  <c r="H13" i="9"/>
  <c r="F13" i="9"/>
  <c r="E13" i="9"/>
  <c r="D13" i="9"/>
  <c r="C13" i="9"/>
  <c r="N13" i="8"/>
  <c r="M13" i="8"/>
  <c r="L13" i="8"/>
  <c r="J13" i="8"/>
  <c r="I13" i="8"/>
  <c r="H13" i="8"/>
  <c r="G13" i="8"/>
  <c r="F13" i="8"/>
  <c r="E13" i="8"/>
  <c r="D13" i="8"/>
  <c r="C13" i="8"/>
  <c r="K13" i="8"/>
  <c r="L6" i="7"/>
  <c r="K7" i="7"/>
  <c r="C13" i="7"/>
  <c r="D13" i="7"/>
  <c r="E13" i="7"/>
  <c r="G13" i="7"/>
  <c r="H13" i="7"/>
  <c r="I13" i="7"/>
  <c r="J13" i="7"/>
  <c r="K13" i="7"/>
  <c r="L13" i="7"/>
  <c r="M13" i="7"/>
  <c r="N13" i="7"/>
  <c r="F13" i="7"/>
  <c r="C11" i="6"/>
  <c r="C12" i="6"/>
  <c r="N11" i="6"/>
  <c r="N12" i="6"/>
  <c r="M11" i="6"/>
  <c r="M12" i="6"/>
  <c r="L11" i="6"/>
  <c r="L12" i="6"/>
  <c r="K11" i="6"/>
  <c r="K12" i="6"/>
  <c r="J11" i="6"/>
  <c r="J12" i="6"/>
  <c r="I11" i="6"/>
  <c r="I12" i="6"/>
  <c r="H11" i="6"/>
  <c r="H12" i="6"/>
  <c r="G11" i="6"/>
  <c r="G12" i="6"/>
  <c r="F11" i="6"/>
  <c r="F12" i="6"/>
  <c r="E11" i="6"/>
  <c r="E12" i="6"/>
  <c r="D11" i="6"/>
  <c r="D12" i="6"/>
  <c r="C11" i="5"/>
  <c r="C12" i="5"/>
  <c r="N11" i="5"/>
  <c r="N12" i="5"/>
  <c r="M11" i="5"/>
  <c r="M12" i="5"/>
  <c r="L11" i="5"/>
  <c r="L12" i="5"/>
  <c r="K11" i="5"/>
  <c r="K12" i="5"/>
  <c r="J11" i="5"/>
  <c r="J12" i="5"/>
  <c r="I11" i="5"/>
  <c r="I12" i="5"/>
  <c r="H11" i="5"/>
  <c r="H12" i="5"/>
  <c r="G11" i="5"/>
  <c r="G12" i="5"/>
  <c r="F11" i="5"/>
  <c r="F12" i="5"/>
  <c r="E11" i="5"/>
  <c r="E12" i="5"/>
  <c r="D11" i="5"/>
  <c r="D12" i="5"/>
</calcChain>
</file>

<file path=xl/sharedStrings.xml><?xml version="1.0" encoding="utf-8"?>
<sst xmlns="http://schemas.openxmlformats.org/spreadsheetml/2006/main" count="353" uniqueCount="38">
  <si>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</si>
  <si>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</si>
  <si>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</si>
  <si>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</si>
  <si>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</si>
  <si>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</si>
  <si>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</si>
  <si>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</si>
  <si>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</si>
  <si>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</si>
  <si>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</si>
  <si>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</si>
  <si>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</si>
  <si>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</si>
  <si>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</si>
  <si>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</si>
  <si>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</si>
  <si>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</si>
  <si>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</si>
  <si>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</si>
  <si>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</si>
  <si>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ВН1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</si>
  <si>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</si>
  <si>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</si>
  <si>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2015 год</t>
  </si>
  <si>
    <t>ГН</t>
  </si>
  <si>
    <t xml:space="preserve">ОАО "МРСК Центра и Приволжья" филиал "Удмуртэнерго" 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</si>
  <si>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2016 год</t>
  </si>
  <si>
    <t>-</t>
  </si>
  <si>
    <t xml:space="preserve">ПАО "МРСК Центра и Приволжья" филиал "Удмуртэнерго" 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</si>
  <si>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</si>
  <si>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</si>
  <si>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</si>
  <si>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</si>
  <si>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</si>
  <si>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</si>
  <si>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</si>
  <si>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Республики Удмуртия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</si>
</sst>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_р_._-;\-* #,##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166" fontId="2" fillId="0" borderId="3" xfId="1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/>
    <xf numFmtId="3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C21" sqref="C2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3" t="s">
        <v>26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14</v>
      </c>
      <c r="C5" s="3">
        <v>60261485</v>
      </c>
      <c r="D5" s="3">
        <v>55506240</v>
      </c>
      <c r="E5" s="3">
        <v>62712334</v>
      </c>
      <c r="F5" s="3">
        <v>56249933</v>
      </c>
      <c r="G5" s="3">
        <v>54740402</v>
      </c>
      <c r="H5" s="3">
        <v>56893777</v>
      </c>
      <c r="I5" s="3">
        <v>58817578</v>
      </c>
      <c r="J5" s="3">
        <v>57683604</v>
      </c>
      <c r="K5" s="3">
        <v>54710372</v>
      </c>
      <c r="L5" s="3">
        <v>57224629</v>
      </c>
      <c r="M5" s="3">
        <v>58837312</v>
      </c>
      <c r="N5" s="3">
        <v>62236211</v>
      </c>
    </row>
    <row r="6" spans="1:14" ht="22.5" customHeight="1" x14ac:dyDescent="0.25">
      <c r="A6" s="24"/>
      <c r="B6" s="5" t="s">
        <v>15</v>
      </c>
      <c r="C6" s="3">
        <v>38870</v>
      </c>
      <c r="D6" s="3">
        <v>37428</v>
      </c>
      <c r="E6" s="3">
        <v>40360</v>
      </c>
      <c r="F6" s="3">
        <v>12869</v>
      </c>
      <c r="G6" s="3">
        <v>7869</v>
      </c>
      <c r="H6" s="3">
        <v>8010</v>
      </c>
      <c r="I6" s="3">
        <v>6653</v>
      </c>
      <c r="J6" s="3">
        <v>11462</v>
      </c>
      <c r="K6" s="3">
        <v>8783</v>
      </c>
      <c r="L6" s="3">
        <v>19267</v>
      </c>
      <c r="M6" s="3">
        <v>28321</v>
      </c>
      <c r="N6" s="3">
        <v>29208</v>
      </c>
    </row>
    <row r="7" spans="1:14" ht="22.5" customHeight="1" x14ac:dyDescent="0.25">
      <c r="A7" s="24"/>
      <c r="B7" s="5" t="s">
        <v>16</v>
      </c>
      <c r="C7" s="3">
        <v>3404357</v>
      </c>
      <c r="D7" s="3">
        <v>2940742</v>
      </c>
      <c r="E7" s="3">
        <v>2936770</v>
      </c>
      <c r="F7" s="3">
        <v>2602600</v>
      </c>
      <c r="G7" s="3">
        <v>2435371</v>
      </c>
      <c r="H7" s="3">
        <v>2706420</v>
      </c>
      <c r="I7" s="3">
        <v>2791184</v>
      </c>
      <c r="J7" s="3">
        <v>2974120</v>
      </c>
      <c r="K7" s="3">
        <v>2860764</v>
      </c>
      <c r="L7" s="3">
        <v>3208325</v>
      </c>
      <c r="M7" s="3">
        <v>3035712</v>
      </c>
      <c r="N7" s="3">
        <v>3382655</v>
      </c>
    </row>
    <row r="8" spans="1:14" ht="22.5" customHeight="1" x14ac:dyDescent="0.25">
      <c r="A8" s="24"/>
      <c r="B8" s="5" t="s">
        <v>17</v>
      </c>
      <c r="C8" s="3">
        <v>578834</v>
      </c>
      <c r="D8" s="3">
        <v>602787</v>
      </c>
      <c r="E8" s="3">
        <v>661889</v>
      </c>
      <c r="F8" s="3">
        <v>596081</v>
      </c>
      <c r="G8" s="3">
        <v>451504</v>
      </c>
      <c r="H8" s="3">
        <v>465777</v>
      </c>
      <c r="I8" s="3">
        <v>479414</v>
      </c>
      <c r="J8" s="3">
        <v>460239</v>
      </c>
      <c r="K8" s="3">
        <v>457097</v>
      </c>
      <c r="L8" s="3">
        <v>527352</v>
      </c>
      <c r="M8" s="3">
        <v>533779</v>
      </c>
      <c r="N8" s="3">
        <v>652703</v>
      </c>
    </row>
    <row r="9" spans="1:14" ht="22.5" customHeight="1" x14ac:dyDescent="0.25">
      <c r="A9" s="24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4"/>
      <c r="B10" s="4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ht="30.75" customHeight="1" x14ac:dyDescent="0.25">
      <c r="A11" s="25"/>
      <c r="B11" s="6" t="s">
        <v>18</v>
      </c>
      <c r="C11" s="3">
        <f t="shared" ref="C11:N11" si="0">SUM(C5:C8,C10)</f>
        <v>64283546</v>
      </c>
      <c r="D11" s="3">
        <f t="shared" si="0"/>
        <v>59087197</v>
      </c>
      <c r="E11" s="3">
        <f t="shared" si="0"/>
        <v>66351353</v>
      </c>
      <c r="F11" s="3">
        <f t="shared" si="0"/>
        <v>59461483</v>
      </c>
      <c r="G11" s="3">
        <f t="shared" si="0"/>
        <v>57635146</v>
      </c>
      <c r="H11" s="3">
        <f t="shared" si="0"/>
        <v>60073984</v>
      </c>
      <c r="I11" s="3">
        <f t="shared" si="0"/>
        <v>62094829</v>
      </c>
      <c r="J11" s="3">
        <f t="shared" si="0"/>
        <v>61129425</v>
      </c>
      <c r="K11" s="3">
        <f t="shared" si="0"/>
        <v>58037016</v>
      </c>
      <c r="L11" s="3">
        <f t="shared" si="0"/>
        <v>60979573</v>
      </c>
      <c r="M11" s="3">
        <f t="shared" si="0"/>
        <v>62435124</v>
      </c>
      <c r="N11" s="3">
        <f t="shared" si="0"/>
        <v>66300777</v>
      </c>
    </row>
    <row r="12" spans="1:14" ht="22.5" customHeight="1" x14ac:dyDescent="0.25">
      <c r="A12" s="29" t="s">
        <v>18</v>
      </c>
      <c r="B12" s="30"/>
      <c r="C12" s="10">
        <f>C11</f>
        <v>64283546</v>
      </c>
      <c r="D12" s="10">
        <f t="shared" ref="D12:N12" si="1">D11</f>
        <v>59087197</v>
      </c>
      <c r="E12" s="10">
        <f t="shared" si="1"/>
        <v>66351353</v>
      </c>
      <c r="F12" s="10">
        <f t="shared" si="1"/>
        <v>59461483</v>
      </c>
      <c r="G12" s="10">
        <f t="shared" si="1"/>
        <v>57635146</v>
      </c>
      <c r="H12" s="10">
        <f t="shared" si="1"/>
        <v>60073984</v>
      </c>
      <c r="I12" s="10">
        <f t="shared" si="1"/>
        <v>62094829</v>
      </c>
      <c r="J12" s="10">
        <f t="shared" si="1"/>
        <v>61129425</v>
      </c>
      <c r="K12" s="10">
        <f t="shared" si="1"/>
        <v>58037016</v>
      </c>
      <c r="L12" s="10">
        <f t="shared" si="1"/>
        <v>60979573</v>
      </c>
      <c r="M12" s="10">
        <f t="shared" si="1"/>
        <v>62435124</v>
      </c>
      <c r="N12" s="10">
        <f t="shared" si="1"/>
        <v>66300777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2"/>
  <sheetViews>
    <sheetView zoomScale="70" zoomScaleNormal="70" workbookViewId="0">
      <selection activeCell="AS6" sqref="AS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9.140625" style="1" customWidth="1"/>
    <col min="5" max="6" width="19.140625" style="1" hidden="1" customWidth="1"/>
    <col min="7" max="7" width="19.140625" style="1" customWidth="1"/>
    <col min="8" max="9" width="19.140625" style="1" hidden="1" customWidth="1"/>
    <col min="10" max="10" width="19.140625" style="1" customWidth="1"/>
    <col min="11" max="12" width="19.140625" style="1" hidden="1" customWidth="1"/>
    <col min="13" max="13" width="19.140625" style="1" customWidth="1"/>
    <col min="14" max="16" width="19.140625" style="1" hidden="1" customWidth="1"/>
    <col min="17" max="17" width="19.140625" style="1" customWidth="1"/>
    <col min="18" max="20" width="19.140625" style="1" hidden="1" customWidth="1"/>
    <col min="21" max="21" width="19.140625" style="1" customWidth="1"/>
    <col min="22" max="24" width="19.140625" style="1" hidden="1" customWidth="1"/>
    <col min="25" max="25" width="19.140625" style="1" customWidth="1"/>
    <col min="26" max="28" width="19.140625" style="1" hidden="1" customWidth="1"/>
    <col min="29" max="29" width="19.140625" style="1" customWidth="1"/>
    <col min="30" max="32" width="19.140625" style="1" hidden="1" customWidth="1"/>
    <col min="33" max="33" width="19.140625" style="1" customWidth="1"/>
    <col min="34" max="36" width="19.140625" style="1" hidden="1" customWidth="1"/>
    <col min="37" max="37" width="19.140625" style="1" customWidth="1"/>
    <col min="38" max="40" width="19.140625" style="1" hidden="1" customWidth="1"/>
    <col min="41" max="41" width="19.140625" style="1" customWidth="1"/>
    <col min="42" max="44" width="19.140625" style="1" hidden="1" customWidth="1"/>
    <col min="45" max="45" width="19.140625" style="1" customWidth="1"/>
    <col min="46" max="46" width="11.140625" style="18" customWidth="1"/>
    <col min="47" max="16384" width="9.140625" style="1"/>
  </cols>
  <sheetData>
    <row r="2" spans="1:46" ht="42.75" customHeight="1" x14ac:dyDescent="0.25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6" s="2" customFormat="1" ht="33" customHeight="1" x14ac:dyDescent="0.25">
      <c r="A3" s="7" t="s">
        <v>0</v>
      </c>
      <c r="B3" s="8" t="s">
        <v>1</v>
      </c>
      <c r="C3" s="8"/>
      <c r="D3" s="9" t="s">
        <v>2</v>
      </c>
      <c r="E3" s="9"/>
      <c r="F3" s="9"/>
      <c r="G3" s="9" t="s">
        <v>3</v>
      </c>
      <c r="H3" s="9"/>
      <c r="I3" s="9"/>
      <c r="J3" s="9" t="s">
        <v>4</v>
      </c>
      <c r="K3" s="9"/>
      <c r="L3" s="9"/>
      <c r="M3" s="9" t="s">
        <v>5</v>
      </c>
      <c r="N3" s="9"/>
      <c r="O3" s="9"/>
      <c r="P3" s="9"/>
      <c r="Q3" s="9" t="s">
        <v>6</v>
      </c>
      <c r="R3" s="9"/>
      <c r="S3" s="9"/>
      <c r="T3" s="9"/>
      <c r="U3" s="9" t="s">
        <v>7</v>
      </c>
      <c r="V3" s="9"/>
      <c r="W3" s="9"/>
      <c r="X3" s="9"/>
      <c r="Y3" s="9" t="s">
        <v>8</v>
      </c>
      <c r="Z3" s="9"/>
      <c r="AA3" s="9"/>
      <c r="AB3" s="9"/>
      <c r="AC3" s="9" t="s">
        <v>9</v>
      </c>
      <c r="AD3" s="9"/>
      <c r="AE3" s="9"/>
      <c r="AF3" s="9"/>
      <c r="AG3" s="9" t="s">
        <v>10</v>
      </c>
      <c r="AH3" s="9"/>
      <c r="AI3" s="9"/>
      <c r="AJ3" s="9"/>
      <c r="AK3" s="9" t="s">
        <v>11</v>
      </c>
      <c r="AL3" s="9"/>
      <c r="AM3" s="9"/>
      <c r="AN3" s="9"/>
      <c r="AO3" s="9" t="s">
        <v>12</v>
      </c>
      <c r="AP3" s="9"/>
      <c r="AQ3" s="9"/>
      <c r="AR3" s="9"/>
      <c r="AS3" s="9" t="s">
        <v>13</v>
      </c>
      <c r="AT3" s="19"/>
    </row>
    <row r="4" spans="1:46" ht="22.5" customHeight="1" x14ac:dyDescent="0.25">
      <c r="A4" s="23" t="s">
        <v>29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8"/>
    </row>
    <row r="5" spans="1:46" ht="22.5" customHeight="1" x14ac:dyDescent="0.25">
      <c r="A5" s="24"/>
      <c r="B5" s="5" t="s">
        <v>25</v>
      </c>
      <c r="C5" s="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6" ht="22.5" customHeight="1" x14ac:dyDescent="0.25">
      <c r="A6" s="24"/>
      <c r="B6" s="5" t="s">
        <v>14</v>
      </c>
      <c r="C6" s="5">
        <v>0.95287171221898448</v>
      </c>
      <c r="D6" s="3">
        <f>786717+31692927</f>
        <v>32479644</v>
      </c>
      <c r="E6" s="3"/>
      <c r="F6" s="3">
        <v>0.92589397679957719</v>
      </c>
      <c r="G6" s="3">
        <f>584320+25946241</f>
        <v>26530561</v>
      </c>
      <c r="H6" s="3"/>
      <c r="I6" s="3">
        <v>1.1271976712032732</v>
      </c>
      <c r="J6" s="3">
        <f>32148416+646818</f>
        <v>32795234</v>
      </c>
      <c r="K6" s="3"/>
      <c r="L6" s="3">
        <v>0.88094838763128636</v>
      </c>
      <c r="M6" s="3">
        <f>30137872+459879</f>
        <v>30597751</v>
      </c>
      <c r="N6" s="3"/>
      <c r="O6" s="3"/>
      <c r="P6" s="3">
        <v>1.0531035160554316</v>
      </c>
      <c r="Q6" s="3">
        <f>29002161+356155</f>
        <v>29358316</v>
      </c>
      <c r="R6" s="3"/>
      <c r="S6" s="3"/>
      <c r="T6" s="3">
        <v>0.90754325138927028</v>
      </c>
      <c r="U6" s="3">
        <f>205458+27427257</f>
        <v>27632715</v>
      </c>
      <c r="V6" s="3"/>
      <c r="W6" s="3"/>
      <c r="X6" s="3">
        <v>1.0855379357701165</v>
      </c>
      <c r="Y6" s="3">
        <f>29407799+360659</f>
        <v>29768458</v>
      </c>
      <c r="Z6" s="3"/>
      <c r="AA6" s="3"/>
      <c r="AB6" s="3">
        <v>0.96580303320195415</v>
      </c>
      <c r="AC6" s="3">
        <f>9508572+18176489+340784</f>
        <v>28025845</v>
      </c>
      <c r="AD6" s="3"/>
      <c r="AE6" s="3"/>
      <c r="AF6" s="3">
        <v>0.97900426801246043</v>
      </c>
      <c r="AG6" s="3">
        <f>292659+25735663</f>
        <v>26028322</v>
      </c>
      <c r="AH6" s="3"/>
      <c r="AI6" s="3"/>
      <c r="AJ6" s="3">
        <v>1.1335091056079432</v>
      </c>
      <c r="AK6" s="3">
        <f>29496301+518821</f>
        <v>30015122</v>
      </c>
      <c r="AL6" s="3"/>
      <c r="AM6" s="3"/>
      <c r="AN6" s="3">
        <v>1.0387188110006711</v>
      </c>
      <c r="AO6" s="3">
        <f>29930641+603609</f>
        <v>30534250</v>
      </c>
      <c r="AP6" s="3"/>
      <c r="AQ6" s="3"/>
      <c r="AR6" s="3">
        <v>1.0155942702634295</v>
      </c>
      <c r="AS6" s="3">
        <f>928177+31104643</f>
        <v>32032820</v>
      </c>
    </row>
    <row r="7" spans="1:46" ht="22.5" customHeight="1" x14ac:dyDescent="0.25">
      <c r="A7" s="24"/>
      <c r="B7" s="5" t="s">
        <v>15</v>
      </c>
      <c r="C7" s="5">
        <v>1.0050530089238043</v>
      </c>
      <c r="D7" s="3">
        <v>47643</v>
      </c>
      <c r="E7" s="3"/>
      <c r="F7" s="3">
        <v>0.90314747007152474</v>
      </c>
      <c r="G7" s="3">
        <v>43692</v>
      </c>
      <c r="H7" s="3"/>
      <c r="I7" s="3">
        <v>0.87746827997647259</v>
      </c>
      <c r="J7" s="3">
        <v>46114</v>
      </c>
      <c r="K7" s="3"/>
      <c r="L7" s="3">
        <v>0.92118934188791268</v>
      </c>
      <c r="M7" s="3">
        <v>35400</v>
      </c>
      <c r="N7" s="3"/>
      <c r="O7" s="3"/>
      <c r="P7" s="3">
        <v>0.51599573793497755</v>
      </c>
      <c r="Q7" s="3">
        <v>24470</v>
      </c>
      <c r="R7" s="3"/>
      <c r="S7" s="3"/>
      <c r="T7" s="3">
        <v>0.57073784940820949</v>
      </c>
      <c r="U7" s="3">
        <v>7904</v>
      </c>
      <c r="V7" s="3"/>
      <c r="W7" s="3"/>
      <c r="X7" s="3">
        <v>1.1403988704553476</v>
      </c>
      <c r="Y7" s="3">
        <v>20480</v>
      </c>
      <c r="Z7" s="3"/>
      <c r="AA7" s="3"/>
      <c r="AB7" s="3">
        <v>1.1578580824885862</v>
      </c>
      <c r="AC7" s="3">
        <v>13278</v>
      </c>
      <c r="AD7" s="3"/>
      <c r="AE7" s="3"/>
      <c r="AF7" s="3">
        <v>1.93029472699325</v>
      </c>
      <c r="AG7" s="3">
        <v>18367</v>
      </c>
      <c r="AH7" s="3"/>
      <c r="AI7" s="3"/>
      <c r="AJ7" s="3">
        <v>0.94747775508084342</v>
      </c>
      <c r="AK7" s="3">
        <v>33414</v>
      </c>
      <c r="AL7" s="3"/>
      <c r="AM7" s="3"/>
      <c r="AN7" s="3">
        <v>0.86373602280201711</v>
      </c>
      <c r="AO7" s="3">
        <v>37058</v>
      </c>
      <c r="AP7" s="3"/>
      <c r="AQ7" s="3"/>
      <c r="AR7" s="3">
        <v>0.50492871345771462</v>
      </c>
      <c r="AS7" s="3">
        <v>53292</v>
      </c>
    </row>
    <row r="8" spans="1:46" ht="22.5" customHeight="1" x14ac:dyDescent="0.25">
      <c r="A8" s="24"/>
      <c r="B8" s="5" t="s">
        <v>16</v>
      </c>
      <c r="C8" s="5">
        <v>1.1087372654339174</v>
      </c>
      <c r="D8" s="3">
        <v>685586</v>
      </c>
      <c r="E8" s="3"/>
      <c r="F8" s="3">
        <v>0.89885461749315954</v>
      </c>
      <c r="G8" s="3">
        <v>668017</v>
      </c>
      <c r="H8" s="3"/>
      <c r="I8" s="3">
        <v>0.86307108710208313</v>
      </c>
      <c r="J8" s="3">
        <v>715410</v>
      </c>
      <c r="K8" s="3"/>
      <c r="L8" s="3">
        <v>0.7090348048836439</v>
      </c>
      <c r="M8" s="3">
        <v>501625</v>
      </c>
      <c r="N8" s="3"/>
      <c r="O8" s="3"/>
      <c r="P8" s="3">
        <v>0.61112921018870725</v>
      </c>
      <c r="Q8" s="3">
        <v>372767</v>
      </c>
      <c r="R8" s="3"/>
      <c r="S8" s="3"/>
      <c r="T8" s="3">
        <v>0.82346085690546389</v>
      </c>
      <c r="U8" s="3">
        <v>301040</v>
      </c>
      <c r="V8" s="3"/>
      <c r="W8" s="3"/>
      <c r="X8" s="3">
        <v>0.98670434809784668</v>
      </c>
      <c r="Y8" s="3">
        <v>263704</v>
      </c>
      <c r="Z8" s="3"/>
      <c r="AA8" s="3"/>
      <c r="AB8" s="3">
        <v>1.0117146670889798</v>
      </c>
      <c r="AC8" s="3">
        <v>282616</v>
      </c>
      <c r="AD8" s="3"/>
      <c r="AE8" s="3"/>
      <c r="AF8" s="3">
        <v>1.4729509736397219</v>
      </c>
      <c r="AG8" s="3">
        <v>363174</v>
      </c>
      <c r="AH8" s="3"/>
      <c r="AI8" s="3"/>
      <c r="AJ8" s="3">
        <v>1.5354478461664587</v>
      </c>
      <c r="AK8" s="3">
        <v>515203.99999999994</v>
      </c>
      <c r="AL8" s="3"/>
      <c r="AM8" s="3"/>
      <c r="AN8" s="3">
        <v>1.2863301357158254</v>
      </c>
      <c r="AO8" s="3">
        <v>616972</v>
      </c>
      <c r="AP8" s="3"/>
      <c r="AQ8" s="3"/>
      <c r="AR8" s="3">
        <v>1.1839802116273599</v>
      </c>
      <c r="AS8" s="3">
        <v>708148</v>
      </c>
    </row>
    <row r="9" spans="1:46" ht="22.5" customHeight="1" x14ac:dyDescent="0.25">
      <c r="A9" s="24"/>
      <c r="B9" s="5" t="s">
        <v>17</v>
      </c>
      <c r="C9" s="5">
        <v>1.174837334529953</v>
      </c>
      <c r="D9" s="3">
        <v>14787</v>
      </c>
      <c r="E9" s="3"/>
      <c r="F9" s="3">
        <v>0.87166388159465269</v>
      </c>
      <c r="G9" s="3">
        <v>13869</v>
      </c>
      <c r="H9" s="3"/>
      <c r="I9" s="3">
        <v>0.83217396067261873</v>
      </c>
      <c r="J9" s="3">
        <v>11906</v>
      </c>
      <c r="K9" s="3"/>
      <c r="L9" s="3">
        <v>0.65201079444481014</v>
      </c>
      <c r="M9" s="3">
        <v>8785</v>
      </c>
      <c r="N9" s="3"/>
      <c r="O9" s="3"/>
      <c r="P9" s="3">
        <v>0.71673733091055924</v>
      </c>
      <c r="Q9" s="3">
        <v>7450</v>
      </c>
      <c r="R9" s="3"/>
      <c r="S9" s="3"/>
      <c r="T9" s="3">
        <v>0.89</v>
      </c>
      <c r="U9" s="3">
        <v>11848</v>
      </c>
      <c r="V9" s="3"/>
      <c r="W9" s="3"/>
      <c r="X9" s="3">
        <v>0.74173128659598042</v>
      </c>
      <c r="Y9" s="3">
        <v>13990</v>
      </c>
      <c r="Z9" s="3"/>
      <c r="AA9" s="3"/>
      <c r="AB9" s="3">
        <v>1.0157883507574141</v>
      </c>
      <c r="AC9" s="3">
        <v>6251</v>
      </c>
      <c r="AD9" s="3"/>
      <c r="AE9" s="3"/>
      <c r="AF9" s="3">
        <v>1.4896030245746692</v>
      </c>
      <c r="AG9" s="3">
        <v>11621</v>
      </c>
      <c r="AH9" s="3"/>
      <c r="AI9" s="3"/>
      <c r="AJ9" s="3">
        <v>1.4073604060913705</v>
      </c>
      <c r="AK9" s="3">
        <v>6702</v>
      </c>
      <c r="AL9" s="3"/>
      <c r="AM9" s="3"/>
      <c r="AN9" s="3">
        <v>1.1961727281835488</v>
      </c>
      <c r="AO9" s="3">
        <v>7928</v>
      </c>
      <c r="AP9" s="3"/>
      <c r="AQ9" s="3"/>
      <c r="AR9" s="3">
        <v>1.0434709774687998</v>
      </c>
      <c r="AS9" s="3">
        <v>11850</v>
      </c>
    </row>
    <row r="10" spans="1:46" ht="22.5" customHeight="1" x14ac:dyDescent="0.25">
      <c r="A10" s="24"/>
      <c r="B10" s="26" t="s">
        <v>20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8"/>
    </row>
    <row r="11" spans="1:46" ht="22.5" customHeight="1" x14ac:dyDescent="0.25">
      <c r="A11" s="25"/>
      <c r="B11" s="4"/>
      <c r="C11" s="4">
        <v>1.0268206734534064</v>
      </c>
      <c r="D11" s="11">
        <v>603</v>
      </c>
      <c r="E11" s="11"/>
      <c r="F11" s="11">
        <v>0.78951382268827452</v>
      </c>
      <c r="G11" s="11">
        <v>471</v>
      </c>
      <c r="H11" s="11"/>
      <c r="I11" s="11">
        <v>1.2885776382516301</v>
      </c>
      <c r="J11" s="11">
        <v>0</v>
      </c>
      <c r="K11" s="11"/>
      <c r="L11" s="11">
        <v>0.75206146926536732</v>
      </c>
      <c r="M11" s="16">
        <f>J11*L11</f>
        <v>0</v>
      </c>
      <c r="N11" s="11"/>
      <c r="O11" s="11"/>
      <c r="P11" s="11"/>
      <c r="Q11" s="11">
        <v>0</v>
      </c>
      <c r="R11" s="11">
        <v>0</v>
      </c>
      <c r="S11" s="11">
        <v>0</v>
      </c>
      <c r="T11" s="11"/>
      <c r="U11" s="11">
        <v>0</v>
      </c>
      <c r="V11" s="11">
        <v>0</v>
      </c>
      <c r="W11" s="11">
        <v>0</v>
      </c>
      <c r="X11" s="11"/>
      <c r="Y11" s="11">
        <v>0</v>
      </c>
      <c r="Z11" s="11">
        <v>0</v>
      </c>
      <c r="AA11" s="11">
        <v>0</v>
      </c>
      <c r="AB11" s="11"/>
      <c r="AC11" s="11">
        <v>0</v>
      </c>
      <c r="AD11" s="11">
        <v>0</v>
      </c>
      <c r="AE11" s="11">
        <v>0</v>
      </c>
      <c r="AF11" s="11"/>
      <c r="AG11" s="11">
        <v>0</v>
      </c>
      <c r="AH11" s="11">
        <v>0</v>
      </c>
      <c r="AI11" s="11">
        <v>0</v>
      </c>
      <c r="AJ11" s="11"/>
      <c r="AK11" s="11">
        <v>0</v>
      </c>
      <c r="AL11" s="11">
        <v>0</v>
      </c>
      <c r="AM11" s="11">
        <v>0</v>
      </c>
      <c r="AN11" s="11"/>
      <c r="AO11" s="11">
        <v>0</v>
      </c>
      <c r="AP11" s="11">
        <v>0</v>
      </c>
      <c r="AQ11" s="11">
        <v>0</v>
      </c>
      <c r="AR11" s="11">
        <v>7.8003120124804995E-4</v>
      </c>
      <c r="AS11" s="11">
        <v>0</v>
      </c>
    </row>
    <row r="12" spans="1:46" ht="22.5" customHeight="1" x14ac:dyDescent="0.25">
      <c r="A12" s="29" t="s">
        <v>18</v>
      </c>
      <c r="B12" s="30"/>
      <c r="C12" s="17"/>
      <c r="D12" s="10">
        <f>SUM(D5:D9,D11)</f>
        <v>33228263</v>
      </c>
      <c r="E12" s="10"/>
      <c r="F12" s="10"/>
      <c r="G12" s="10">
        <f>SUM(G5:G9,G11)</f>
        <v>27256610</v>
      </c>
      <c r="H12" s="10"/>
      <c r="I12" s="10"/>
      <c r="J12" s="10">
        <f>SUM(J5:J9,J11)</f>
        <v>33568664</v>
      </c>
      <c r="K12" s="10"/>
      <c r="L12" s="10"/>
      <c r="M12" s="10">
        <f>SUM(M5:M9,M11)</f>
        <v>31143561</v>
      </c>
      <c r="N12" s="10"/>
      <c r="O12" s="10"/>
      <c r="P12" s="10"/>
      <c r="Q12" s="10">
        <f>SUM(Q5:Q9,Q11)</f>
        <v>29763003</v>
      </c>
      <c r="R12" s="10"/>
      <c r="S12" s="10"/>
      <c r="T12" s="10"/>
      <c r="U12" s="10">
        <f>SUM(U5:U9,U11)</f>
        <v>27953507</v>
      </c>
      <c r="V12" s="10"/>
      <c r="W12" s="10"/>
      <c r="X12" s="10"/>
      <c r="Y12" s="10">
        <f>SUM(Y5:Y9,Y11)</f>
        <v>30066632</v>
      </c>
      <c r="Z12" s="10"/>
      <c r="AA12" s="10"/>
      <c r="AB12" s="10"/>
      <c r="AC12" s="10">
        <f>SUM(AC5:AC9,AC11)</f>
        <v>28327990</v>
      </c>
      <c r="AD12" s="10"/>
      <c r="AE12" s="10"/>
      <c r="AF12" s="10"/>
      <c r="AG12" s="10">
        <f>SUM(AG5:AG9,AG11)</f>
        <v>26421484</v>
      </c>
      <c r="AH12" s="10"/>
      <c r="AI12" s="10"/>
      <c r="AJ12" s="10"/>
      <c r="AK12" s="10">
        <f>SUM(AK5:AK9,AK11)</f>
        <v>30570442</v>
      </c>
      <c r="AL12" s="10"/>
      <c r="AM12" s="10"/>
      <c r="AN12" s="10"/>
      <c r="AO12" s="10">
        <f>SUM(AO5:AO9,AO11)</f>
        <v>31196208</v>
      </c>
      <c r="AP12" s="10"/>
      <c r="AQ12" s="10"/>
      <c r="AR12" s="10"/>
      <c r="AS12" s="10">
        <f>SUM(AS5:AS9,AS11)</f>
        <v>32806110</v>
      </c>
    </row>
  </sheetData>
  <mergeCells count="5">
    <mergeCell ref="A2:AS2"/>
    <mergeCell ref="A4:A11"/>
    <mergeCell ref="B4:AS4"/>
    <mergeCell ref="B10:AS10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opLeftCell="D1" zoomScale="85" zoomScaleNormal="85" workbookViewId="0">
      <selection activeCell="D1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140625" style="1" customWidth="1"/>
    <col min="15" max="15" width="10.28515625" style="1" bestFit="1" customWidth="1"/>
    <col min="16" max="16" width="9.140625" style="1"/>
    <col min="17" max="17" width="10.28515625" style="1" bestFit="1" customWidth="1"/>
    <col min="18" max="16384" width="9.140625" style="1"/>
  </cols>
  <sheetData>
    <row r="2" spans="1:17" ht="42.75" customHeight="1" x14ac:dyDescent="0.2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7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7" ht="22.5" customHeight="1" x14ac:dyDescent="0.25">
      <c r="A4" s="23" t="s">
        <v>29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7" ht="22.5" customHeight="1" x14ac:dyDescent="0.25">
      <c r="A5" s="24"/>
      <c r="B5" s="5" t="s">
        <v>25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8"/>
    </row>
    <row r="6" spans="1:17" ht="22.5" customHeight="1" x14ac:dyDescent="0.25">
      <c r="A6" s="24"/>
      <c r="B6" s="5" t="s">
        <v>14</v>
      </c>
      <c r="C6" s="3">
        <v>32142400</v>
      </c>
      <c r="D6" s="3">
        <v>28556326</v>
      </c>
      <c r="E6" s="3">
        <v>30768981</v>
      </c>
      <c r="F6" s="3">
        <v>27336530</v>
      </c>
      <c r="G6" s="3">
        <v>26028885</v>
      </c>
      <c r="H6" s="3">
        <v>24402730</v>
      </c>
      <c r="I6" s="3">
        <v>24839662</v>
      </c>
      <c r="J6" s="3">
        <v>25958424</v>
      </c>
      <c r="K6" s="3">
        <v>26026063</v>
      </c>
      <c r="L6" s="3">
        <v>27753454</v>
      </c>
      <c r="M6" s="3">
        <v>28023691</v>
      </c>
      <c r="N6" s="3">
        <v>27926414</v>
      </c>
      <c r="O6" s="20"/>
      <c r="Q6" s="21"/>
    </row>
    <row r="7" spans="1:17" ht="22.5" customHeight="1" x14ac:dyDescent="0.25">
      <c r="A7" s="24"/>
      <c r="B7" s="5" t="s">
        <v>15</v>
      </c>
      <c r="C7" s="3">
        <v>83252</v>
      </c>
      <c r="D7" s="3">
        <v>40742</v>
      </c>
      <c r="E7" s="3">
        <v>42807</v>
      </c>
      <c r="F7" s="3">
        <v>21811</v>
      </c>
      <c r="G7" s="3">
        <v>14413</v>
      </c>
      <c r="H7" s="3">
        <v>8954</v>
      </c>
      <c r="I7" s="3">
        <v>16236</v>
      </c>
      <c r="J7" s="3">
        <v>15369</v>
      </c>
      <c r="K7" s="3">
        <v>4078.0000000000005</v>
      </c>
      <c r="L7" s="3">
        <v>20600</v>
      </c>
      <c r="M7" s="3">
        <v>50782</v>
      </c>
      <c r="N7" s="3">
        <v>49208</v>
      </c>
      <c r="O7" s="20"/>
      <c r="Q7" s="21"/>
    </row>
    <row r="8" spans="1:17" ht="22.5" customHeight="1" x14ac:dyDescent="0.25">
      <c r="A8" s="24"/>
      <c r="B8" s="5" t="s">
        <v>16</v>
      </c>
      <c r="C8" s="3">
        <v>706964</v>
      </c>
      <c r="D8" s="3">
        <v>640559</v>
      </c>
      <c r="E8" s="3">
        <v>563583</v>
      </c>
      <c r="F8" s="3">
        <v>435004</v>
      </c>
      <c r="G8" s="3">
        <v>225174</v>
      </c>
      <c r="H8" s="3">
        <v>243914</v>
      </c>
      <c r="I8" s="3">
        <v>244266</v>
      </c>
      <c r="J8" s="3">
        <v>243860</v>
      </c>
      <c r="K8" s="3">
        <v>310316</v>
      </c>
      <c r="L8" s="3">
        <v>527617</v>
      </c>
      <c r="M8" s="3">
        <v>507020</v>
      </c>
      <c r="N8" s="3">
        <v>681329</v>
      </c>
      <c r="O8" s="20"/>
      <c r="Q8" s="21"/>
    </row>
    <row r="9" spans="1:17" ht="22.5" customHeight="1" x14ac:dyDescent="0.25">
      <c r="A9" s="24"/>
      <c r="B9" s="5" t="s">
        <v>17</v>
      </c>
      <c r="C9" s="3">
        <v>11226</v>
      </c>
      <c r="D9" s="3">
        <v>11571</v>
      </c>
      <c r="E9" s="3">
        <v>11933</v>
      </c>
      <c r="F9" s="3">
        <v>7790</v>
      </c>
      <c r="G9" s="3">
        <v>6822</v>
      </c>
      <c r="H9" s="3">
        <v>6467</v>
      </c>
      <c r="I9" s="3">
        <v>5373</v>
      </c>
      <c r="J9" s="3">
        <v>5174</v>
      </c>
      <c r="K9" s="3">
        <v>5725</v>
      </c>
      <c r="L9" s="3">
        <v>8269</v>
      </c>
      <c r="M9" s="3">
        <v>12195</v>
      </c>
      <c r="N9" s="3">
        <v>12839</v>
      </c>
      <c r="O9" s="20"/>
      <c r="Q9" s="21"/>
    </row>
    <row r="10" spans="1:17" ht="22.5" customHeight="1" x14ac:dyDescent="0.25">
      <c r="A10" s="24"/>
      <c r="B10" s="26" t="s">
        <v>20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7" ht="22.5" customHeight="1" x14ac:dyDescent="0.25">
      <c r="A11" s="25"/>
      <c r="B11" s="4"/>
      <c r="C11" s="11"/>
      <c r="D11" s="11"/>
      <c r="E11" s="11"/>
      <c r="F11" s="16"/>
      <c r="G11" s="11"/>
      <c r="H11" s="11"/>
      <c r="I11" s="11"/>
      <c r="J11" s="11"/>
      <c r="K11" s="11"/>
      <c r="L11" s="11"/>
      <c r="M11" s="11"/>
      <c r="N11" s="11"/>
    </row>
    <row r="12" spans="1:17" ht="22.5" customHeight="1" x14ac:dyDescent="0.25">
      <c r="A12" s="29" t="s">
        <v>18</v>
      </c>
      <c r="B12" s="30"/>
      <c r="C12" s="10">
        <f t="shared" ref="C12:N12" si="0">SUM(C5:C9,C11)</f>
        <v>32943842</v>
      </c>
      <c r="D12" s="10">
        <f t="shared" si="0"/>
        <v>29249198</v>
      </c>
      <c r="E12" s="10">
        <f t="shared" si="0"/>
        <v>31387304</v>
      </c>
      <c r="F12" s="10">
        <f t="shared" si="0"/>
        <v>27801135</v>
      </c>
      <c r="G12" s="10">
        <f t="shared" si="0"/>
        <v>26275294</v>
      </c>
      <c r="H12" s="10">
        <f t="shared" si="0"/>
        <v>24662065</v>
      </c>
      <c r="I12" s="10">
        <f t="shared" si="0"/>
        <v>25105537</v>
      </c>
      <c r="J12" s="10">
        <f t="shared" si="0"/>
        <v>26222827</v>
      </c>
      <c r="K12" s="10">
        <f t="shared" si="0"/>
        <v>26346182</v>
      </c>
      <c r="L12" s="10">
        <f t="shared" si="0"/>
        <v>28309940</v>
      </c>
      <c r="M12" s="10">
        <f t="shared" si="0"/>
        <v>28593688</v>
      </c>
      <c r="N12" s="10">
        <f t="shared" si="0"/>
        <v>28669790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abSelected="1" zoomScale="70" zoomScaleNormal="70" workbookViewId="0">
      <selection activeCell="F6" sqref="F6:H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140625" style="1" customWidth="1"/>
    <col min="15" max="15" width="10.28515625" style="1" bestFit="1" customWidth="1"/>
    <col min="16" max="16" width="9.140625" style="1"/>
    <col min="17" max="17" width="10.28515625" style="1" bestFit="1" customWidth="1"/>
    <col min="18" max="16384" width="9.140625" style="1"/>
  </cols>
  <sheetData>
    <row r="2" spans="1:17" ht="42.75" customHeight="1" x14ac:dyDescent="0.2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7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7" ht="22.5" customHeight="1" x14ac:dyDescent="0.25">
      <c r="A4" s="23" t="s">
        <v>29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7" ht="22.5" customHeight="1" x14ac:dyDescent="0.25">
      <c r="A5" s="24"/>
      <c r="B5" s="5" t="s">
        <v>25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8"/>
    </row>
    <row r="6" spans="1:17" ht="22.5" customHeight="1" x14ac:dyDescent="0.25">
      <c r="A6" s="24"/>
      <c r="B6" s="5" t="s">
        <v>14</v>
      </c>
      <c r="C6" s="3">
        <v>27246545</v>
      </c>
      <c r="D6" s="3">
        <v>25597750</v>
      </c>
      <c r="E6" s="3">
        <v>27969092</v>
      </c>
      <c r="F6" s="3"/>
      <c r="G6" s="3"/>
      <c r="H6" s="3"/>
      <c r="I6" s="3"/>
      <c r="J6" s="3"/>
      <c r="K6" s="3"/>
      <c r="L6" s="3"/>
      <c r="M6" s="3"/>
      <c r="N6" s="3"/>
      <c r="O6" s="20"/>
      <c r="Q6" s="21"/>
    </row>
    <row r="7" spans="1:17" ht="22.5" customHeight="1" x14ac:dyDescent="0.25">
      <c r="A7" s="24"/>
      <c r="B7" s="5" t="s">
        <v>15</v>
      </c>
      <c r="C7" s="3">
        <v>53758</v>
      </c>
      <c r="D7" s="3">
        <v>50427</v>
      </c>
      <c r="E7" s="3">
        <v>42743</v>
      </c>
      <c r="F7" s="3"/>
      <c r="G7" s="3"/>
      <c r="H7" s="3"/>
      <c r="I7" s="3"/>
      <c r="J7" s="3"/>
      <c r="K7" s="3"/>
      <c r="L7" s="3"/>
      <c r="M7" s="3"/>
      <c r="N7" s="3"/>
      <c r="O7" s="20"/>
      <c r="Q7" s="21"/>
    </row>
    <row r="8" spans="1:17" ht="22.5" customHeight="1" x14ac:dyDescent="0.25">
      <c r="A8" s="24"/>
      <c r="B8" s="5" t="s">
        <v>16</v>
      </c>
      <c r="C8" s="3">
        <v>711772</v>
      </c>
      <c r="D8" s="3">
        <v>647246</v>
      </c>
      <c r="E8" s="3">
        <v>545449.00000000012</v>
      </c>
      <c r="F8" s="3"/>
      <c r="G8" s="3"/>
      <c r="H8" s="3"/>
      <c r="I8" s="3"/>
      <c r="J8" s="3"/>
      <c r="K8" s="3"/>
      <c r="L8" s="3"/>
      <c r="M8" s="3"/>
      <c r="N8" s="3"/>
      <c r="O8" s="20"/>
      <c r="Q8" s="21"/>
    </row>
    <row r="9" spans="1:17" ht="22.5" customHeight="1" x14ac:dyDescent="0.25">
      <c r="A9" s="24"/>
      <c r="B9" s="5" t="s">
        <v>17</v>
      </c>
      <c r="C9" s="3">
        <v>7721</v>
      </c>
      <c r="D9" s="3">
        <v>34680</v>
      </c>
      <c r="E9" s="3">
        <v>13528</v>
      </c>
      <c r="F9" s="3"/>
      <c r="G9" s="3"/>
      <c r="H9" s="3"/>
      <c r="I9" s="3"/>
      <c r="J9" s="3"/>
      <c r="K9" s="3"/>
      <c r="L9" s="3"/>
      <c r="M9" s="3"/>
      <c r="N9" s="3"/>
      <c r="O9" s="20"/>
      <c r="Q9" s="21"/>
    </row>
    <row r="10" spans="1:17" ht="22.5" customHeight="1" x14ac:dyDescent="0.25">
      <c r="A10" s="24"/>
      <c r="B10" s="26" t="s">
        <v>20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7" ht="22.5" customHeight="1" x14ac:dyDescent="0.25">
      <c r="A11" s="25"/>
      <c r="B11" s="4"/>
      <c r="C11" s="11"/>
      <c r="D11" s="11"/>
      <c r="E11" s="11"/>
      <c r="F11" s="16"/>
      <c r="G11" s="11"/>
      <c r="H11" s="11"/>
      <c r="I11" s="11"/>
      <c r="J11" s="11"/>
      <c r="K11" s="11"/>
      <c r="L11" s="11"/>
      <c r="M11" s="11"/>
      <c r="N11" s="11"/>
    </row>
    <row r="12" spans="1:17" ht="22.5" customHeight="1" x14ac:dyDescent="0.25">
      <c r="A12" s="29" t="s">
        <v>18</v>
      </c>
      <c r="B12" s="30"/>
      <c r="C12" s="10">
        <f t="shared" ref="C12:N12" si="0">SUM(C5:C9,C11)</f>
        <v>28019796</v>
      </c>
      <c r="D12" s="10">
        <f t="shared" si="0"/>
        <v>26330103</v>
      </c>
      <c r="E12" s="10">
        <f t="shared" si="0"/>
        <v>28570812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F21" sqref="F2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3" t="s">
        <v>26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14</v>
      </c>
      <c r="C5" s="3">
        <v>42967130</v>
      </c>
      <c r="D5" s="3">
        <v>41522621</v>
      </c>
      <c r="E5" s="3">
        <v>45506475</v>
      </c>
      <c r="F5" s="3">
        <v>40692779</v>
      </c>
      <c r="G5" s="3">
        <v>41715301</v>
      </c>
      <c r="H5" s="3">
        <v>40368445</v>
      </c>
      <c r="I5" s="3">
        <v>44011380</v>
      </c>
      <c r="J5" s="3">
        <v>46576509</v>
      </c>
      <c r="K5" s="3">
        <v>44967580</v>
      </c>
      <c r="L5" s="3">
        <v>48822418</v>
      </c>
      <c r="M5" s="3">
        <v>52319093</v>
      </c>
      <c r="N5" s="3">
        <v>48937484</v>
      </c>
    </row>
    <row r="6" spans="1:14" ht="22.5" customHeight="1" x14ac:dyDescent="0.25">
      <c r="A6" s="24"/>
      <c r="B6" s="5" t="s">
        <v>15</v>
      </c>
      <c r="C6" s="3">
        <v>27141</v>
      </c>
      <c r="D6" s="3">
        <v>28979</v>
      </c>
      <c r="E6" s="3">
        <v>21943</v>
      </c>
      <c r="F6" s="3">
        <v>30943</v>
      </c>
      <c r="G6" s="3">
        <v>10931</v>
      </c>
      <c r="H6" s="3">
        <v>9136</v>
      </c>
      <c r="I6" s="3">
        <v>9685</v>
      </c>
      <c r="J6" s="3">
        <v>11743</v>
      </c>
      <c r="K6" s="3">
        <v>10225</v>
      </c>
      <c r="L6" s="3">
        <v>27342</v>
      </c>
      <c r="M6" s="3">
        <v>38048</v>
      </c>
      <c r="N6" s="3">
        <v>41137</v>
      </c>
    </row>
    <row r="7" spans="1:14" ht="22.5" customHeight="1" x14ac:dyDescent="0.25">
      <c r="A7" s="24"/>
      <c r="B7" s="5" t="s">
        <v>16</v>
      </c>
      <c r="C7" s="3">
        <v>3833694</v>
      </c>
      <c r="D7" s="3">
        <v>3813569</v>
      </c>
      <c r="E7" s="3">
        <v>3393916</v>
      </c>
      <c r="F7" s="3">
        <v>3259895</v>
      </c>
      <c r="G7" s="3">
        <v>2995906</v>
      </c>
      <c r="H7" s="3">
        <v>3439630</v>
      </c>
      <c r="I7" s="3">
        <v>3569781</v>
      </c>
      <c r="J7" s="3">
        <v>3735281</v>
      </c>
      <c r="K7" s="3">
        <v>3663801</v>
      </c>
      <c r="L7" s="3">
        <v>4083238</v>
      </c>
      <c r="M7" s="3">
        <v>4148026</v>
      </c>
      <c r="N7" s="3">
        <v>4475476</v>
      </c>
    </row>
    <row r="8" spans="1:14" ht="22.5" customHeight="1" x14ac:dyDescent="0.25">
      <c r="A8" s="24"/>
      <c r="B8" s="5" t="s">
        <v>17</v>
      </c>
      <c r="C8" s="3">
        <v>575803</v>
      </c>
      <c r="D8" s="3">
        <v>652264</v>
      </c>
      <c r="E8" s="3">
        <v>536396</v>
      </c>
      <c r="F8" s="3">
        <v>388706</v>
      </c>
      <c r="G8" s="3">
        <v>333788</v>
      </c>
      <c r="H8" s="3">
        <v>313309</v>
      </c>
      <c r="I8" s="3">
        <v>308864</v>
      </c>
      <c r="J8" s="3">
        <v>326320</v>
      </c>
      <c r="K8" s="3">
        <v>368217</v>
      </c>
      <c r="L8" s="3">
        <v>459917</v>
      </c>
      <c r="M8" s="3">
        <v>410032</v>
      </c>
      <c r="N8" s="3">
        <v>423119</v>
      </c>
    </row>
    <row r="9" spans="1:14" ht="22.5" customHeight="1" x14ac:dyDescent="0.25">
      <c r="A9" s="24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4"/>
      <c r="B10" s="4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ht="30.75" customHeight="1" x14ac:dyDescent="0.25">
      <c r="A11" s="25"/>
      <c r="B11" s="6" t="s">
        <v>18</v>
      </c>
      <c r="C11" s="3">
        <f t="shared" ref="C11:N11" si="0">SUM(C5:C8,C10)</f>
        <v>47403768</v>
      </c>
      <c r="D11" s="3">
        <f t="shared" si="0"/>
        <v>46017433</v>
      </c>
      <c r="E11" s="3">
        <f t="shared" si="0"/>
        <v>49458730</v>
      </c>
      <c r="F11" s="3">
        <f t="shared" si="0"/>
        <v>44372323</v>
      </c>
      <c r="G11" s="3">
        <f t="shared" si="0"/>
        <v>45055926</v>
      </c>
      <c r="H11" s="3">
        <f t="shared" si="0"/>
        <v>44130520</v>
      </c>
      <c r="I11" s="3">
        <f t="shared" si="0"/>
        <v>47899710</v>
      </c>
      <c r="J11" s="3">
        <f t="shared" si="0"/>
        <v>50649853</v>
      </c>
      <c r="K11" s="3">
        <f t="shared" si="0"/>
        <v>49009823</v>
      </c>
      <c r="L11" s="3">
        <f t="shared" si="0"/>
        <v>53392915</v>
      </c>
      <c r="M11" s="3">
        <f t="shared" si="0"/>
        <v>56915199</v>
      </c>
      <c r="N11" s="3">
        <f t="shared" si="0"/>
        <v>53877216</v>
      </c>
    </row>
    <row r="12" spans="1:14" ht="22.5" customHeight="1" x14ac:dyDescent="0.25">
      <c r="A12" s="29" t="s">
        <v>18</v>
      </c>
      <c r="B12" s="30"/>
      <c r="C12" s="10">
        <f>C11</f>
        <v>47403768</v>
      </c>
      <c r="D12" s="10">
        <f t="shared" ref="D12:M12" si="1">D11</f>
        <v>46017433</v>
      </c>
      <c r="E12" s="10">
        <f t="shared" si="1"/>
        <v>49458730</v>
      </c>
      <c r="F12" s="10">
        <f t="shared" si="1"/>
        <v>44372323</v>
      </c>
      <c r="G12" s="10">
        <f t="shared" si="1"/>
        <v>45055926</v>
      </c>
      <c r="H12" s="10">
        <f t="shared" si="1"/>
        <v>44130520</v>
      </c>
      <c r="I12" s="10">
        <f t="shared" si="1"/>
        <v>47899710</v>
      </c>
      <c r="J12" s="10">
        <f>J11</f>
        <v>50649853</v>
      </c>
      <c r="K12" s="10">
        <f t="shared" si="1"/>
        <v>49009823</v>
      </c>
      <c r="L12" s="10">
        <f>L11</f>
        <v>53392915</v>
      </c>
      <c r="M12" s="10">
        <f t="shared" si="1"/>
        <v>56915199</v>
      </c>
      <c r="N12" s="10">
        <f>N11</f>
        <v>53877216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3" t="s">
        <v>26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25</v>
      </c>
      <c r="C5" s="11">
        <v>0</v>
      </c>
      <c r="D5" s="11">
        <v>0</v>
      </c>
      <c r="E5" s="11">
        <v>0</v>
      </c>
      <c r="F5" s="11">
        <v>988228</v>
      </c>
      <c r="G5" s="3">
        <v>820673</v>
      </c>
      <c r="H5" s="3">
        <v>876240</v>
      </c>
      <c r="I5" s="3">
        <v>917974</v>
      </c>
      <c r="J5" s="3">
        <v>828299</v>
      </c>
      <c r="K5" s="3">
        <v>795288</v>
      </c>
      <c r="L5" s="3">
        <v>934304</v>
      </c>
      <c r="M5" s="3">
        <v>1097873</v>
      </c>
      <c r="N5" s="3">
        <v>1099869</v>
      </c>
    </row>
    <row r="6" spans="1:14" ht="22.5" customHeight="1" x14ac:dyDescent="0.25">
      <c r="A6" s="24"/>
      <c r="B6" s="5" t="s">
        <v>21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3"/>
      <c r="K6" s="3"/>
      <c r="L6" s="3">
        <f t="shared" ref="L6" si="0">K6</f>
        <v>0</v>
      </c>
      <c r="M6" s="3">
        <v>0</v>
      </c>
      <c r="N6" s="3">
        <v>0</v>
      </c>
    </row>
    <row r="7" spans="1:14" ht="22.5" customHeight="1" x14ac:dyDescent="0.25">
      <c r="A7" s="24"/>
      <c r="B7" s="5" t="s">
        <v>14</v>
      </c>
      <c r="C7" s="3">
        <v>46552238</v>
      </c>
      <c r="D7" s="3">
        <v>43969356</v>
      </c>
      <c r="E7" s="3">
        <v>49592761</v>
      </c>
      <c r="F7" s="3">
        <v>46141709</v>
      </c>
      <c r="G7" s="3">
        <v>46507330</v>
      </c>
      <c r="H7" s="3">
        <v>46358058</v>
      </c>
      <c r="I7" s="3">
        <v>47696803</v>
      </c>
      <c r="J7" s="3">
        <v>45409006</v>
      </c>
      <c r="K7" s="3">
        <f>16963086+30032696</f>
        <v>46995782</v>
      </c>
      <c r="L7" s="3">
        <v>50787953</v>
      </c>
      <c r="M7" s="3">
        <v>50775084</v>
      </c>
      <c r="N7" s="3">
        <v>53801985</v>
      </c>
    </row>
    <row r="8" spans="1:14" ht="22.5" customHeight="1" x14ac:dyDescent="0.25">
      <c r="A8" s="24"/>
      <c r="B8" s="5" t="s">
        <v>15</v>
      </c>
      <c r="C8" s="3">
        <v>35644</v>
      </c>
      <c r="D8" s="3">
        <v>37556</v>
      </c>
      <c r="E8" s="3">
        <v>27821</v>
      </c>
      <c r="F8" s="3">
        <v>22202</v>
      </c>
      <c r="G8" s="3">
        <v>9411</v>
      </c>
      <c r="H8" s="3">
        <v>8332</v>
      </c>
      <c r="I8" s="3">
        <v>7766</v>
      </c>
      <c r="J8" s="3">
        <v>10180</v>
      </c>
      <c r="K8" s="3">
        <v>12535</v>
      </c>
      <c r="L8" s="3">
        <v>15175</v>
      </c>
      <c r="M8" s="3">
        <v>25883</v>
      </c>
      <c r="N8" s="3">
        <v>28670</v>
      </c>
    </row>
    <row r="9" spans="1:14" ht="22.5" customHeight="1" x14ac:dyDescent="0.25">
      <c r="A9" s="24"/>
      <c r="B9" s="5" t="s">
        <v>16</v>
      </c>
      <c r="C9" s="3">
        <v>4233527</v>
      </c>
      <c r="D9" s="3">
        <v>3896609</v>
      </c>
      <c r="E9" s="3">
        <v>3605925</v>
      </c>
      <c r="F9" s="3">
        <v>3320074</v>
      </c>
      <c r="G9" s="3">
        <v>3011920</v>
      </c>
      <c r="H9" s="3">
        <v>3239671</v>
      </c>
      <c r="I9" s="3">
        <v>3508946</v>
      </c>
      <c r="J9" s="3">
        <v>3138567</v>
      </c>
      <c r="K9" s="3">
        <v>3218299</v>
      </c>
      <c r="L9" s="3">
        <v>3879367</v>
      </c>
      <c r="M9" s="3">
        <v>4032328</v>
      </c>
      <c r="N9" s="3">
        <v>4246675</v>
      </c>
    </row>
    <row r="10" spans="1:14" ht="22.5" customHeight="1" x14ac:dyDescent="0.25">
      <c r="A10" s="24"/>
      <c r="B10" s="5" t="s">
        <v>17</v>
      </c>
      <c r="C10" s="3">
        <v>384828</v>
      </c>
      <c r="D10" s="3">
        <v>391655</v>
      </c>
      <c r="E10" s="3">
        <v>322095</v>
      </c>
      <c r="F10" s="3">
        <v>332472</v>
      </c>
      <c r="G10" s="3">
        <v>261698</v>
      </c>
      <c r="H10" s="3">
        <v>281781</v>
      </c>
      <c r="I10" s="3">
        <v>275552</v>
      </c>
      <c r="J10" s="3">
        <v>256069</v>
      </c>
      <c r="K10" s="3">
        <v>266245</v>
      </c>
      <c r="L10" s="3">
        <v>343899</v>
      </c>
      <c r="M10" s="3">
        <v>281889</v>
      </c>
      <c r="N10" s="3">
        <v>522423</v>
      </c>
    </row>
    <row r="11" spans="1:14" ht="22.5" customHeight="1" x14ac:dyDescent="0.25">
      <c r="A11" s="24"/>
      <c r="B11" s="26" t="s">
        <v>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22.5" customHeight="1" x14ac:dyDescent="0.25">
      <c r="A12" s="24"/>
      <c r="B12" s="4"/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3"/>
      <c r="L12" s="3"/>
      <c r="M12" s="3"/>
      <c r="N12" s="3"/>
    </row>
    <row r="13" spans="1:14" ht="22.5" customHeight="1" x14ac:dyDescent="0.25">
      <c r="A13" s="29" t="s">
        <v>18</v>
      </c>
      <c r="B13" s="30"/>
      <c r="C13" s="10">
        <f t="shared" ref="C13:E13" si="1">SUM(C5:C10,C12)</f>
        <v>51206237</v>
      </c>
      <c r="D13" s="10">
        <f t="shared" si="1"/>
        <v>48295176</v>
      </c>
      <c r="E13" s="10">
        <f t="shared" si="1"/>
        <v>53548602</v>
      </c>
      <c r="F13" s="10">
        <f>SUM(F5:F10,F12)</f>
        <v>50804685</v>
      </c>
      <c r="G13" s="10">
        <f t="shared" ref="G13:N13" si="2">SUM(G5:G10,G12)</f>
        <v>50611032</v>
      </c>
      <c r="H13" s="10">
        <f t="shared" si="2"/>
        <v>50764082</v>
      </c>
      <c r="I13" s="10">
        <f t="shared" si="2"/>
        <v>52407041</v>
      </c>
      <c r="J13" s="10">
        <f t="shared" si="2"/>
        <v>49642121</v>
      </c>
      <c r="K13" s="10">
        <f t="shared" si="2"/>
        <v>51288149</v>
      </c>
      <c r="L13" s="10">
        <f t="shared" si="2"/>
        <v>55960698</v>
      </c>
      <c r="M13" s="10">
        <f t="shared" si="2"/>
        <v>56213057</v>
      </c>
      <c r="N13" s="10">
        <f t="shared" si="2"/>
        <v>59699622</v>
      </c>
    </row>
  </sheetData>
  <mergeCells count="5">
    <mergeCell ref="A2:N2"/>
    <mergeCell ref="A4:A12"/>
    <mergeCell ref="B4:N4"/>
    <mergeCell ref="B11:N11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zoomScale="70" zoomScaleNormal="70" workbookViewId="0">
      <selection activeCell="N5" sqref="N5:N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3" t="s">
        <v>29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25</v>
      </c>
      <c r="C5" s="11">
        <v>1014913</v>
      </c>
      <c r="D5" s="11">
        <v>1032138</v>
      </c>
      <c r="E5" s="11">
        <v>1088132</v>
      </c>
      <c r="F5" s="11">
        <v>1032177</v>
      </c>
      <c r="G5" s="11">
        <v>972587</v>
      </c>
      <c r="H5" s="11" t="s">
        <v>28</v>
      </c>
      <c r="I5" s="11" t="s">
        <v>28</v>
      </c>
      <c r="J5" s="11" t="s">
        <v>28</v>
      </c>
      <c r="K5" s="11" t="s">
        <v>28</v>
      </c>
      <c r="L5" s="11" t="s">
        <v>28</v>
      </c>
      <c r="M5" s="11" t="s">
        <v>28</v>
      </c>
      <c r="N5" s="11" t="s">
        <v>28</v>
      </c>
    </row>
    <row r="6" spans="1:14" ht="22.5" customHeight="1" x14ac:dyDescent="0.25">
      <c r="A6" s="24"/>
      <c r="B6" s="5" t="s">
        <v>21</v>
      </c>
      <c r="C6" s="11" t="s">
        <v>28</v>
      </c>
      <c r="D6" s="11" t="s">
        <v>28</v>
      </c>
      <c r="E6" s="11" t="s">
        <v>28</v>
      </c>
      <c r="F6" s="11" t="s">
        <v>28</v>
      </c>
      <c r="G6" s="11" t="s">
        <v>28</v>
      </c>
      <c r="H6" s="11" t="s">
        <v>28</v>
      </c>
      <c r="I6" s="11" t="s">
        <v>28</v>
      </c>
      <c r="J6" s="11" t="s">
        <v>28</v>
      </c>
      <c r="K6" s="11" t="s">
        <v>28</v>
      </c>
      <c r="L6" s="11" t="s">
        <v>28</v>
      </c>
      <c r="M6" s="11" t="s">
        <v>28</v>
      </c>
      <c r="N6" s="11" t="s">
        <v>28</v>
      </c>
    </row>
    <row r="7" spans="1:14" ht="22.5" customHeight="1" x14ac:dyDescent="0.25">
      <c r="A7" s="24"/>
      <c r="B7" s="5" t="s">
        <v>14</v>
      </c>
      <c r="C7" s="3">
        <v>47424221</v>
      </c>
      <c r="D7" s="3">
        <v>45854710</v>
      </c>
      <c r="E7" s="3">
        <v>47700031</v>
      </c>
      <c r="F7" s="3">
        <v>44089551</v>
      </c>
      <c r="G7" s="3">
        <v>39337776</v>
      </c>
      <c r="H7" s="3">
        <v>38169679</v>
      </c>
      <c r="I7" s="3">
        <v>32712203</v>
      </c>
      <c r="J7" s="3">
        <v>33292040</v>
      </c>
      <c r="K7" s="3">
        <v>31008467</v>
      </c>
      <c r="L7" s="3">
        <v>35675450</v>
      </c>
      <c r="M7" s="3">
        <v>36704946</v>
      </c>
      <c r="N7" s="3">
        <v>39746099</v>
      </c>
    </row>
    <row r="8" spans="1:14" ht="22.5" customHeight="1" x14ac:dyDescent="0.25">
      <c r="A8" s="24"/>
      <c r="B8" s="5" t="s">
        <v>15</v>
      </c>
      <c r="C8" s="3">
        <v>45086</v>
      </c>
      <c r="D8" s="3">
        <v>37121</v>
      </c>
      <c r="E8" s="3">
        <v>32593</v>
      </c>
      <c r="F8" s="3">
        <v>18240</v>
      </c>
      <c r="G8" s="3">
        <v>20318</v>
      </c>
      <c r="H8" s="3">
        <v>5639</v>
      </c>
      <c r="I8" s="3" t="s">
        <v>28</v>
      </c>
      <c r="J8" s="3" t="s">
        <v>28</v>
      </c>
      <c r="K8" s="3" t="s">
        <v>28</v>
      </c>
      <c r="L8" s="3" t="s">
        <v>28</v>
      </c>
      <c r="M8" s="3" t="s">
        <v>28</v>
      </c>
      <c r="N8" s="3" t="s">
        <v>28</v>
      </c>
    </row>
    <row r="9" spans="1:14" ht="22.5" customHeight="1" x14ac:dyDescent="0.25">
      <c r="A9" s="24"/>
      <c r="B9" s="5" t="s">
        <v>16</v>
      </c>
      <c r="C9" s="3">
        <v>4192865</v>
      </c>
      <c r="D9" s="3">
        <v>4158056</v>
      </c>
      <c r="E9" s="3">
        <v>4011115</v>
      </c>
      <c r="F9" s="3">
        <v>3489285</v>
      </c>
      <c r="G9" s="3">
        <v>2600085</v>
      </c>
      <c r="H9" s="3">
        <v>2519512</v>
      </c>
      <c r="I9" s="3">
        <v>1249847</v>
      </c>
      <c r="J9" s="3">
        <v>1138857</v>
      </c>
      <c r="K9" s="3">
        <v>1116102</v>
      </c>
      <c r="L9" s="3">
        <v>1278166</v>
      </c>
      <c r="M9" s="3">
        <v>1653711</v>
      </c>
      <c r="N9" s="3">
        <v>1741703</v>
      </c>
    </row>
    <row r="10" spans="1:14" ht="22.5" customHeight="1" x14ac:dyDescent="0.25">
      <c r="A10" s="24"/>
      <c r="B10" s="5" t="s">
        <v>17</v>
      </c>
      <c r="C10" s="3">
        <v>400744</v>
      </c>
      <c r="D10" s="3">
        <v>410998</v>
      </c>
      <c r="E10" s="3">
        <v>363948</v>
      </c>
      <c r="F10" s="3">
        <v>306425</v>
      </c>
      <c r="G10" s="3">
        <v>235157</v>
      </c>
      <c r="H10" s="3">
        <v>233061</v>
      </c>
      <c r="I10" s="3">
        <v>101107</v>
      </c>
      <c r="J10" s="3">
        <v>70596</v>
      </c>
      <c r="K10" s="3">
        <v>62864</v>
      </c>
      <c r="L10" s="3">
        <v>74652</v>
      </c>
      <c r="M10" s="3">
        <v>59075</v>
      </c>
      <c r="N10" s="3">
        <v>35359</v>
      </c>
    </row>
    <row r="11" spans="1:14" ht="22.5" customHeight="1" x14ac:dyDescent="0.25">
      <c r="A11" s="24"/>
      <c r="B11" s="26" t="s">
        <v>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22.5" customHeight="1" x14ac:dyDescent="0.25">
      <c r="A12" s="24"/>
      <c r="B12" s="4"/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3"/>
    </row>
    <row r="13" spans="1:14" ht="22.5" customHeight="1" x14ac:dyDescent="0.25">
      <c r="A13" s="29" t="s">
        <v>18</v>
      </c>
      <c r="B13" s="30"/>
      <c r="C13" s="10">
        <f t="shared" ref="C13:E13" si="0">SUM(C5:C10,C12)</f>
        <v>53077829</v>
      </c>
      <c r="D13" s="10">
        <f t="shared" si="0"/>
        <v>51493023</v>
      </c>
      <c r="E13" s="10">
        <f t="shared" si="0"/>
        <v>53195819</v>
      </c>
      <c r="F13" s="10">
        <f>SUM(F5:F10,F12)</f>
        <v>48935678</v>
      </c>
      <c r="G13" s="10">
        <f t="shared" ref="G13:N13" si="1">SUM(G5:G10,G12)</f>
        <v>43165923</v>
      </c>
      <c r="H13" s="10">
        <f t="shared" si="1"/>
        <v>40927891</v>
      </c>
      <c r="I13" s="10">
        <f t="shared" si="1"/>
        <v>34063157</v>
      </c>
      <c r="J13" s="10">
        <f t="shared" si="1"/>
        <v>34501493</v>
      </c>
      <c r="K13" s="10">
        <f t="shared" si="1"/>
        <v>32187433</v>
      </c>
      <c r="L13" s="10">
        <f t="shared" si="1"/>
        <v>37028268</v>
      </c>
      <c r="M13" s="10">
        <f t="shared" si="1"/>
        <v>38417732</v>
      </c>
      <c r="N13" s="10">
        <f t="shared" si="1"/>
        <v>41523161</v>
      </c>
    </row>
  </sheetData>
  <mergeCells count="5">
    <mergeCell ref="A2:N2"/>
    <mergeCell ref="A4:A12"/>
    <mergeCell ref="B4:N4"/>
    <mergeCell ref="B11:N11"/>
    <mergeCell ref="A13: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zoomScale="70" zoomScaleNormal="70" workbookViewId="0">
      <selection activeCell="N13" sqref="N1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3" t="s">
        <v>29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25</v>
      </c>
      <c r="C5" s="11" t="s">
        <v>28</v>
      </c>
      <c r="D5" s="11" t="s">
        <v>28</v>
      </c>
      <c r="E5" s="11" t="s">
        <v>28</v>
      </c>
      <c r="F5" s="11" t="s">
        <v>28</v>
      </c>
      <c r="G5" s="11" t="s">
        <v>28</v>
      </c>
      <c r="H5" s="11" t="s">
        <v>28</v>
      </c>
      <c r="I5" s="11" t="s">
        <v>28</v>
      </c>
      <c r="J5" s="11" t="s">
        <v>28</v>
      </c>
      <c r="K5" s="11" t="s">
        <v>28</v>
      </c>
      <c r="L5" s="11" t="s">
        <v>28</v>
      </c>
      <c r="M5" s="11" t="s">
        <v>28</v>
      </c>
      <c r="N5" s="11" t="s">
        <v>28</v>
      </c>
    </row>
    <row r="6" spans="1:14" ht="22.5" customHeight="1" x14ac:dyDescent="0.25">
      <c r="A6" s="24"/>
      <c r="B6" s="5" t="s">
        <v>21</v>
      </c>
      <c r="C6" s="11" t="s">
        <v>28</v>
      </c>
      <c r="D6" s="11" t="s">
        <v>28</v>
      </c>
      <c r="E6" s="11" t="s">
        <v>28</v>
      </c>
      <c r="F6" s="11" t="s">
        <v>28</v>
      </c>
      <c r="G6" s="11" t="s">
        <v>28</v>
      </c>
      <c r="H6" s="11" t="s">
        <v>28</v>
      </c>
      <c r="I6" s="11" t="s">
        <v>28</v>
      </c>
      <c r="J6" s="11" t="s">
        <v>28</v>
      </c>
      <c r="K6" s="11" t="s">
        <v>28</v>
      </c>
      <c r="L6" s="11" t="s">
        <v>28</v>
      </c>
      <c r="M6" s="11" t="s">
        <v>28</v>
      </c>
      <c r="N6" s="11" t="s">
        <v>28</v>
      </c>
    </row>
    <row r="7" spans="1:14" ht="22.5" customHeight="1" x14ac:dyDescent="0.25">
      <c r="A7" s="24"/>
      <c r="B7" s="5" t="s">
        <v>14</v>
      </c>
      <c r="C7" s="3">
        <v>38375621</v>
      </c>
      <c r="D7" s="3">
        <v>35028310</v>
      </c>
      <c r="E7" s="3">
        <v>38681027</v>
      </c>
      <c r="F7" s="3">
        <v>32712032</v>
      </c>
      <c r="G7" s="3">
        <v>34395087</v>
      </c>
      <c r="H7" s="3">
        <v>32011815</v>
      </c>
      <c r="I7" s="3">
        <v>33667405</v>
      </c>
      <c r="J7" s="3">
        <v>30888468</v>
      </c>
      <c r="K7" s="3">
        <v>29678015</v>
      </c>
      <c r="L7" s="3">
        <f>29132126+2683821+561142</f>
        <v>32377089</v>
      </c>
      <c r="M7" s="3">
        <f>29717581+2805028+786495</f>
        <v>33309104</v>
      </c>
      <c r="N7" s="3">
        <f>33423621+3336982+1086728</f>
        <v>37847331</v>
      </c>
    </row>
    <row r="8" spans="1:14" ht="22.5" customHeight="1" x14ac:dyDescent="0.25">
      <c r="A8" s="24"/>
      <c r="B8" s="5" t="s">
        <v>15</v>
      </c>
      <c r="C8" s="3">
        <v>49226</v>
      </c>
      <c r="D8" s="3">
        <v>41836.999999999993</v>
      </c>
      <c r="E8" s="3">
        <v>30821</v>
      </c>
      <c r="F8" s="3">
        <v>23235.000000000004</v>
      </c>
      <c r="G8" s="3">
        <v>16760</v>
      </c>
      <c r="H8" s="3">
        <v>13288</v>
      </c>
      <c r="I8" s="3">
        <v>14063</v>
      </c>
      <c r="J8" s="3">
        <v>11071</v>
      </c>
      <c r="K8" s="3">
        <v>16866.000000000004</v>
      </c>
      <c r="L8" s="3">
        <v>31278</v>
      </c>
      <c r="M8" s="3">
        <v>33022</v>
      </c>
      <c r="N8" s="3">
        <v>41315</v>
      </c>
    </row>
    <row r="9" spans="1:14" ht="22.5" customHeight="1" x14ac:dyDescent="0.25">
      <c r="A9" s="24"/>
      <c r="B9" s="5" t="s">
        <v>16</v>
      </c>
      <c r="C9" s="3">
        <v>2173842</v>
      </c>
      <c r="D9" s="3">
        <v>1998305</v>
      </c>
      <c r="E9" s="3">
        <v>1710168</v>
      </c>
      <c r="F9" s="3">
        <v>1429427</v>
      </c>
      <c r="G9" s="3">
        <v>1213209</v>
      </c>
      <c r="H9" s="3">
        <v>979157</v>
      </c>
      <c r="I9" s="3">
        <v>1013862</v>
      </c>
      <c r="J9" s="3">
        <v>1036968</v>
      </c>
      <c r="K9" s="3">
        <v>1163007</v>
      </c>
      <c r="L9" s="3">
        <f>999432+517643</f>
        <v>1517075</v>
      </c>
      <c r="M9" s="3">
        <f>1073103+539007</f>
        <v>1612110</v>
      </c>
      <c r="N9" s="3">
        <f>1266832+679603</f>
        <v>1946435</v>
      </c>
    </row>
    <row r="10" spans="1:14" ht="22.5" customHeight="1" x14ac:dyDescent="0.25">
      <c r="A10" s="24"/>
      <c r="B10" s="5" t="s">
        <v>17</v>
      </c>
      <c r="C10" s="3">
        <v>26703</v>
      </c>
      <c r="D10" s="3">
        <v>21283</v>
      </c>
      <c r="E10" s="3">
        <v>17659</v>
      </c>
      <c r="F10" s="3">
        <v>13582</v>
      </c>
      <c r="G10" s="3">
        <v>13867</v>
      </c>
      <c r="H10" s="3">
        <v>9928</v>
      </c>
      <c r="I10" s="3">
        <v>10491</v>
      </c>
      <c r="J10" s="3">
        <v>10580</v>
      </c>
      <c r="K10" s="3">
        <v>13645</v>
      </c>
      <c r="L10" s="3">
        <f>14242+10726</f>
        <v>24968</v>
      </c>
      <c r="M10" s="3">
        <f>12330+7199</f>
        <v>19529</v>
      </c>
      <c r="N10" s="3">
        <f>16003+8479</f>
        <v>24482</v>
      </c>
    </row>
    <row r="11" spans="1:14" ht="22.5" customHeight="1" x14ac:dyDescent="0.25">
      <c r="A11" s="24"/>
      <c r="B11" s="26" t="s">
        <v>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22.5" customHeight="1" x14ac:dyDescent="0.25">
      <c r="A12" s="24"/>
      <c r="B12" s="4"/>
      <c r="C12" s="11">
        <v>1388.9999999999998</v>
      </c>
      <c r="D12" s="11">
        <v>0</v>
      </c>
      <c r="E12" s="11">
        <v>2249</v>
      </c>
      <c r="F12" s="11">
        <v>195</v>
      </c>
      <c r="G12" s="11">
        <v>195</v>
      </c>
      <c r="H12" s="11">
        <v>198</v>
      </c>
      <c r="I12" s="12">
        <v>195</v>
      </c>
      <c r="J12" s="11">
        <v>193</v>
      </c>
      <c r="K12" s="11">
        <v>193</v>
      </c>
      <c r="L12" s="11">
        <v>1049</v>
      </c>
      <c r="M12" s="11">
        <v>421</v>
      </c>
      <c r="N12" s="3">
        <v>411</v>
      </c>
    </row>
    <row r="13" spans="1:14" ht="22.5" customHeight="1" x14ac:dyDescent="0.25">
      <c r="A13" s="29" t="s">
        <v>18</v>
      </c>
      <c r="B13" s="30"/>
      <c r="C13" s="10">
        <f t="shared" ref="C13:E13" si="0">SUM(C5:C10,C12)</f>
        <v>40626781</v>
      </c>
      <c r="D13" s="10">
        <f t="shared" si="0"/>
        <v>37089735</v>
      </c>
      <c r="E13" s="10">
        <f t="shared" si="0"/>
        <v>40441924</v>
      </c>
      <c r="F13" s="10">
        <f>SUM(F5:F10,F12)</f>
        <v>34178471</v>
      </c>
      <c r="G13" s="10">
        <f>SUM(G5:G10,G12)</f>
        <v>35639118</v>
      </c>
      <c r="H13" s="10">
        <f t="shared" ref="H13:N13" si="1">SUM(H5:H10,H12)</f>
        <v>33014386</v>
      </c>
      <c r="I13" s="10">
        <f t="shared" si="1"/>
        <v>34706016</v>
      </c>
      <c r="J13" s="10">
        <f t="shared" ref="J13:K13" si="2">SUM(J5:J10,J12)</f>
        <v>31947280</v>
      </c>
      <c r="K13" s="10">
        <f t="shared" si="2"/>
        <v>30871726</v>
      </c>
      <c r="L13" s="10">
        <f t="shared" si="1"/>
        <v>33951459</v>
      </c>
      <c r="M13" s="10">
        <f t="shared" si="1"/>
        <v>34974186</v>
      </c>
      <c r="N13" s="10">
        <f t="shared" si="1"/>
        <v>39859974</v>
      </c>
    </row>
  </sheetData>
  <mergeCells count="5">
    <mergeCell ref="A2:N2"/>
    <mergeCell ref="A4:A12"/>
    <mergeCell ref="B4:N4"/>
    <mergeCell ref="B11:N11"/>
    <mergeCell ref="A13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opLeftCell="A2" zoomScale="70" zoomScaleNormal="70" workbookViewId="0">
      <selection activeCell="P10" sqref="P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3" t="s">
        <v>29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25</v>
      </c>
      <c r="C5" s="11" t="s">
        <v>28</v>
      </c>
      <c r="D5" s="11" t="s">
        <v>28</v>
      </c>
      <c r="E5" s="11" t="s">
        <v>28</v>
      </c>
      <c r="F5" s="11" t="s">
        <v>28</v>
      </c>
      <c r="G5" s="11" t="s">
        <v>28</v>
      </c>
      <c r="H5" s="11"/>
      <c r="I5" s="11"/>
      <c r="J5" s="11"/>
      <c r="K5" s="11"/>
      <c r="L5" s="11"/>
      <c r="M5" s="11"/>
      <c r="N5" s="11"/>
    </row>
    <row r="6" spans="1:14" ht="22.5" customHeight="1" x14ac:dyDescent="0.25">
      <c r="A6" s="24"/>
      <c r="B6" s="5" t="s">
        <v>21</v>
      </c>
      <c r="C6" s="11" t="s">
        <v>28</v>
      </c>
      <c r="D6" s="11" t="s">
        <v>28</v>
      </c>
      <c r="E6" s="11" t="s">
        <v>28</v>
      </c>
      <c r="F6" s="11" t="s">
        <v>28</v>
      </c>
      <c r="G6" s="11" t="s">
        <v>28</v>
      </c>
      <c r="H6" s="11"/>
      <c r="I6" s="11"/>
      <c r="J6" s="11"/>
      <c r="K6" s="11"/>
      <c r="L6" s="11"/>
      <c r="M6" s="11"/>
      <c r="N6" s="11"/>
    </row>
    <row r="7" spans="1:14" ht="22.5" customHeight="1" x14ac:dyDescent="0.25">
      <c r="A7" s="24"/>
      <c r="B7" s="5" t="s">
        <v>14</v>
      </c>
      <c r="C7" s="3">
        <v>36055876</v>
      </c>
      <c r="D7" s="3">
        <v>34992987</v>
      </c>
      <c r="E7" s="3">
        <v>39740526</v>
      </c>
      <c r="F7" s="3">
        <f>33796395+2553019+466757</f>
        <v>36816171</v>
      </c>
      <c r="G7" s="3">
        <f>32779090+2300381+261575</f>
        <v>35341046</v>
      </c>
      <c r="H7" s="3">
        <f>31481415+2181853+292879</f>
        <v>33956147</v>
      </c>
      <c r="I7" s="3">
        <f>29988119+2207535+273388</f>
        <v>32469042</v>
      </c>
      <c r="J7" s="3">
        <f>30430739+2225705+458667</f>
        <v>33115111</v>
      </c>
      <c r="K7" s="3">
        <f>29516103+2244346+335391</f>
        <v>32095840</v>
      </c>
      <c r="L7" s="3">
        <f>31869436+2598247+517942</f>
        <v>34985625</v>
      </c>
      <c r="M7" s="3">
        <f>32853196+2918148+930193</f>
        <v>36701537</v>
      </c>
      <c r="N7" s="3">
        <f>33912013+3314419+963426</f>
        <v>38189858</v>
      </c>
    </row>
    <row r="8" spans="1:14" ht="22.5" customHeight="1" x14ac:dyDescent="0.25">
      <c r="A8" s="24"/>
      <c r="B8" s="5" t="s">
        <v>15</v>
      </c>
      <c r="C8" s="3">
        <v>42622</v>
      </c>
      <c r="D8" s="3">
        <v>32227</v>
      </c>
      <c r="E8" s="3">
        <v>41469</v>
      </c>
      <c r="F8" s="3">
        <v>27076</v>
      </c>
      <c r="G8" s="3">
        <v>18679</v>
      </c>
      <c r="H8" s="3">
        <v>17663</v>
      </c>
      <c r="I8" s="3">
        <v>10306</v>
      </c>
      <c r="J8" s="3">
        <v>8789</v>
      </c>
      <c r="K8" s="3">
        <v>20519</v>
      </c>
      <c r="L8" s="3">
        <v>33032</v>
      </c>
      <c r="M8" s="3">
        <v>31558</v>
      </c>
      <c r="N8" s="3">
        <v>41407</v>
      </c>
    </row>
    <row r="9" spans="1:14" ht="22.5" customHeight="1" x14ac:dyDescent="0.25">
      <c r="A9" s="24"/>
      <c r="B9" s="5" t="s">
        <v>16</v>
      </c>
      <c r="C9" s="3">
        <v>2033441</v>
      </c>
      <c r="D9" s="3">
        <v>1868646</v>
      </c>
      <c r="E9" s="3">
        <v>1987286</v>
      </c>
      <c r="F9" s="3">
        <f>950311+546796</f>
        <v>1497107</v>
      </c>
      <c r="G9" s="3">
        <f>835802+311843</f>
        <v>1147645</v>
      </c>
      <c r="H9" s="3">
        <f>752174+218420</f>
        <v>970594</v>
      </c>
      <c r="I9" s="3">
        <f>801884+198637</f>
        <v>1000521</v>
      </c>
      <c r="J9" s="3">
        <f>822701+218847</f>
        <v>1041548</v>
      </c>
      <c r="K9" s="3">
        <f>793925+293096</f>
        <v>1087021</v>
      </c>
      <c r="L9" s="3">
        <f>956157+444587</f>
        <v>1400744</v>
      </c>
      <c r="M9" s="3">
        <f>1099584+659137</f>
        <v>1758721</v>
      </c>
      <c r="N9" s="3">
        <f>1301373+712267</f>
        <v>2013640</v>
      </c>
    </row>
    <row r="10" spans="1:14" ht="22.5" customHeight="1" x14ac:dyDescent="0.25">
      <c r="A10" s="24"/>
      <c r="B10" s="5" t="s">
        <v>17</v>
      </c>
      <c r="C10" s="3">
        <v>25862</v>
      </c>
      <c r="D10" s="3">
        <v>34374</v>
      </c>
      <c r="E10" s="3">
        <v>23766</v>
      </c>
      <c r="F10" s="3">
        <f>9978+10987</f>
        <v>20965</v>
      </c>
      <c r="G10" s="3">
        <f>10923+5015</f>
        <v>15938</v>
      </c>
      <c r="H10" s="3">
        <f>9342+4585</f>
        <v>13927</v>
      </c>
      <c r="I10" s="3">
        <f>13433+4362</f>
        <v>17795</v>
      </c>
      <c r="J10" s="3">
        <f>12261+4507</f>
        <v>16768</v>
      </c>
      <c r="K10" s="3">
        <f>10815+5771</f>
        <v>16586</v>
      </c>
      <c r="L10" s="3">
        <f>14553+3805</f>
        <v>18358</v>
      </c>
      <c r="M10" s="3">
        <f>16487+21217</f>
        <v>37704</v>
      </c>
      <c r="N10" s="3">
        <f>17553+8748</f>
        <v>26301</v>
      </c>
    </row>
    <row r="11" spans="1:14" ht="22.5" customHeight="1" x14ac:dyDescent="0.25">
      <c r="A11" s="24"/>
      <c r="B11" s="26" t="s">
        <v>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22.5" customHeight="1" x14ac:dyDescent="0.25">
      <c r="A12" s="24"/>
      <c r="B12" s="4"/>
      <c r="C12" s="11">
        <v>1046</v>
      </c>
      <c r="D12" s="11">
        <v>573</v>
      </c>
      <c r="E12" s="11">
        <v>9770</v>
      </c>
      <c r="F12" s="11">
        <v>2744</v>
      </c>
      <c r="G12" s="11">
        <v>2541</v>
      </c>
      <c r="H12" s="11">
        <v>399</v>
      </c>
      <c r="I12" s="11">
        <v>221</v>
      </c>
      <c r="J12" s="11">
        <v>3680</v>
      </c>
      <c r="K12" s="11">
        <v>190</v>
      </c>
      <c r="L12" s="11">
        <v>190</v>
      </c>
      <c r="M12" s="11">
        <v>1093</v>
      </c>
      <c r="N12" s="11">
        <v>4207</v>
      </c>
    </row>
    <row r="13" spans="1:14" ht="22.5" customHeight="1" x14ac:dyDescent="0.25">
      <c r="A13" s="29" t="s">
        <v>18</v>
      </c>
      <c r="B13" s="30"/>
      <c r="C13" s="10">
        <f t="shared" ref="C13:E13" si="0">SUM(C5:C10,C12)</f>
        <v>38158847</v>
      </c>
      <c r="D13" s="10">
        <f t="shared" si="0"/>
        <v>36928807</v>
      </c>
      <c r="E13" s="10">
        <f t="shared" si="0"/>
        <v>41802817</v>
      </c>
      <c r="F13" s="10">
        <f>SUM(F5:F10,F12)</f>
        <v>38364063</v>
      </c>
      <c r="G13" s="10">
        <f>SUM(G5:G10,G12)</f>
        <v>36525849</v>
      </c>
      <c r="H13" s="10">
        <f t="shared" ref="H13:N13" si="1">SUM(H5:H10,H12)</f>
        <v>34958730</v>
      </c>
      <c r="I13" s="10">
        <f t="shared" si="1"/>
        <v>33497885</v>
      </c>
      <c r="J13" s="10">
        <f t="shared" si="1"/>
        <v>34185896</v>
      </c>
      <c r="K13" s="10">
        <f t="shared" si="1"/>
        <v>33220156</v>
      </c>
      <c r="L13" s="10">
        <f t="shared" si="1"/>
        <v>36437949</v>
      </c>
      <c r="M13" s="10">
        <f t="shared" si="1"/>
        <v>38530613</v>
      </c>
      <c r="N13" s="10">
        <f t="shared" si="1"/>
        <v>40275413</v>
      </c>
    </row>
  </sheetData>
  <mergeCells count="5">
    <mergeCell ref="A2:N2"/>
    <mergeCell ref="A4:A12"/>
    <mergeCell ref="B4:N4"/>
    <mergeCell ref="B11:N11"/>
    <mergeCell ref="A13: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zoomScale="60" zoomScaleNormal="60" workbookViewId="0">
      <selection activeCell="P10" sqref="P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140625" style="1" customWidth="1"/>
    <col min="15" max="15" width="9.140625" style="14" customWidth="1"/>
    <col min="16" max="16" width="9.140625" style="1"/>
    <col min="17" max="17" width="11.5703125" style="14" bestFit="1" customWidth="1"/>
    <col min="18" max="16384" width="9.140625" style="1"/>
  </cols>
  <sheetData>
    <row r="2" spans="1:17" ht="42.75" customHeight="1" x14ac:dyDescent="0.2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7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5"/>
      <c r="Q3" s="15"/>
    </row>
    <row r="4" spans="1:17" ht="22.5" customHeight="1" x14ac:dyDescent="0.25">
      <c r="A4" s="23" t="s">
        <v>29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7" ht="22.5" customHeight="1" x14ac:dyDescent="0.25">
      <c r="A5" s="24"/>
      <c r="B5" s="5" t="s">
        <v>25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7" ht="22.5" customHeight="1" x14ac:dyDescent="0.25">
      <c r="A6" s="24"/>
      <c r="B6" s="5" t="s">
        <v>21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7" ht="22.5" customHeight="1" x14ac:dyDescent="0.25">
      <c r="A7" s="24"/>
      <c r="B7" s="5" t="s">
        <v>14</v>
      </c>
      <c r="C7" s="3">
        <f>33846317+877024</f>
        <v>34723341</v>
      </c>
      <c r="D7" s="3">
        <f>29644613+550456</f>
        <v>30195069</v>
      </c>
      <c r="E7" s="3">
        <f>34234716+851521</f>
        <v>35086237</v>
      </c>
      <c r="F7" s="3">
        <f>30165679+352576</f>
        <v>30518255</v>
      </c>
      <c r="G7" s="3">
        <f>29258243+177804</f>
        <v>29436047</v>
      </c>
      <c r="H7" s="3">
        <f>25070330+70614</f>
        <v>25140944</v>
      </c>
      <c r="I7" s="3">
        <f>28000440+134858</f>
        <v>28135298</v>
      </c>
      <c r="J7" s="3">
        <f>28743840+295455</f>
        <v>29039295</v>
      </c>
      <c r="K7" s="3">
        <f>26465630+222996</f>
        <v>26688626</v>
      </c>
      <c r="L7" s="3">
        <f>30970275+390160</f>
        <v>31360435</v>
      </c>
      <c r="M7" s="3">
        <f>30836949+470376</f>
        <v>31307325</v>
      </c>
      <c r="N7" s="3">
        <f>30771763+631906</f>
        <v>31403669</v>
      </c>
      <c r="O7" s="14">
        <f>N7/M7</f>
        <v>1.0030773628855227</v>
      </c>
      <c r="Q7" s="13">
        <f>AVERAGE(C7:N7)</f>
        <v>30252878.416666668</v>
      </c>
    </row>
    <row r="8" spans="1:17" ht="22.5" customHeight="1" x14ac:dyDescent="0.25">
      <c r="A8" s="24"/>
      <c r="B8" s="5" t="s">
        <v>15</v>
      </c>
      <c r="C8" s="3">
        <v>57113</v>
      </c>
      <c r="D8" s="3">
        <v>45865</v>
      </c>
      <c r="E8" s="3">
        <v>39654</v>
      </c>
      <c r="F8" s="3">
        <v>31278</v>
      </c>
      <c r="G8" s="3">
        <v>18365</v>
      </c>
      <c r="H8" s="3">
        <v>5134</v>
      </c>
      <c r="I8" s="3">
        <v>14787</v>
      </c>
      <c r="J8" s="3">
        <v>11039</v>
      </c>
      <c r="K8" s="3">
        <v>28108</v>
      </c>
      <c r="L8" s="3">
        <v>31373</v>
      </c>
      <c r="M8" s="3">
        <v>10588</v>
      </c>
      <c r="N8" s="3">
        <v>39344</v>
      </c>
      <c r="O8" s="14">
        <f t="shared" ref="O8:O10" si="0">N8/M8</f>
        <v>3.7159047978843973</v>
      </c>
      <c r="Q8" s="13">
        <f t="shared" ref="Q8:Q12" si="1">AVERAGE(C8:N8)</f>
        <v>27720.666666666668</v>
      </c>
    </row>
    <row r="9" spans="1:17" ht="22.5" customHeight="1" x14ac:dyDescent="0.25">
      <c r="A9" s="24"/>
      <c r="B9" s="5" t="s">
        <v>16</v>
      </c>
      <c r="C9" s="3">
        <v>874609</v>
      </c>
      <c r="D9" s="3">
        <v>668936</v>
      </c>
      <c r="E9" s="3">
        <v>561412</v>
      </c>
      <c r="F9" s="3">
        <v>562021</v>
      </c>
      <c r="G9" s="3">
        <v>325115</v>
      </c>
      <c r="H9" s="3">
        <v>176308</v>
      </c>
      <c r="I9" s="3">
        <v>193716</v>
      </c>
      <c r="J9" s="3">
        <v>253615</v>
      </c>
      <c r="K9" s="3">
        <v>312413</v>
      </c>
      <c r="L9" s="3">
        <v>504342</v>
      </c>
      <c r="M9" s="3">
        <v>583557</v>
      </c>
      <c r="N9" s="3">
        <v>681774</v>
      </c>
      <c r="O9" s="14">
        <f t="shared" si="0"/>
        <v>1.1683074661087092</v>
      </c>
      <c r="Q9" s="13">
        <f t="shared" si="1"/>
        <v>474818.16666666669</v>
      </c>
    </row>
    <row r="10" spans="1:17" ht="22.5" customHeight="1" x14ac:dyDescent="0.25">
      <c r="A10" s="24"/>
      <c r="B10" s="5" t="s">
        <v>17</v>
      </c>
      <c r="C10" s="3">
        <v>34789</v>
      </c>
      <c r="D10" s="3">
        <v>14726</v>
      </c>
      <c r="E10" s="3">
        <v>10970</v>
      </c>
      <c r="F10" s="3">
        <v>11709</v>
      </c>
      <c r="G10" s="3">
        <v>4790</v>
      </c>
      <c r="H10" s="3">
        <v>4254</v>
      </c>
      <c r="I10" s="3">
        <v>4370</v>
      </c>
      <c r="J10" s="3">
        <v>4917</v>
      </c>
      <c r="K10" s="3">
        <v>5326</v>
      </c>
      <c r="L10" s="3">
        <v>6342</v>
      </c>
      <c r="M10" s="3">
        <v>7633</v>
      </c>
      <c r="N10" s="3">
        <v>8300</v>
      </c>
      <c r="O10" s="14">
        <f t="shared" si="0"/>
        <v>1.0873837285470982</v>
      </c>
      <c r="Q10" s="13">
        <f t="shared" si="1"/>
        <v>9843.8333333333339</v>
      </c>
    </row>
    <row r="11" spans="1:17" ht="22.5" customHeight="1" x14ac:dyDescent="0.25">
      <c r="A11" s="24"/>
      <c r="B11" s="26" t="s">
        <v>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Q11" s="13"/>
    </row>
    <row r="12" spans="1:17" ht="22.5" customHeight="1" x14ac:dyDescent="0.25">
      <c r="A12" s="24"/>
      <c r="B12" s="4"/>
      <c r="C12" s="11">
        <v>2422</v>
      </c>
      <c r="D12" s="11">
        <v>3449</v>
      </c>
      <c r="E12" s="11">
        <v>1586</v>
      </c>
      <c r="F12" s="11">
        <v>930</v>
      </c>
      <c r="G12" s="11">
        <v>1235</v>
      </c>
      <c r="H12" s="11">
        <v>108</v>
      </c>
      <c r="I12" s="11">
        <v>200</v>
      </c>
      <c r="J12" s="11">
        <v>3</v>
      </c>
      <c r="K12" s="11">
        <v>354</v>
      </c>
      <c r="L12" s="11">
        <v>407</v>
      </c>
      <c r="M12" s="11">
        <v>1928</v>
      </c>
      <c r="N12" s="11">
        <v>7546</v>
      </c>
      <c r="O12" s="14">
        <f>N12/M12</f>
        <v>3.9139004149377592</v>
      </c>
      <c r="Q12" s="13">
        <f t="shared" si="1"/>
        <v>1680.6666666666667</v>
      </c>
    </row>
    <row r="13" spans="1:17" ht="22.5" customHeight="1" x14ac:dyDescent="0.25">
      <c r="A13" s="29" t="s">
        <v>18</v>
      </c>
      <c r="B13" s="30"/>
      <c r="C13" s="10">
        <f t="shared" ref="C13:E13" si="2">SUM(C5:C10,C12)</f>
        <v>35692274</v>
      </c>
      <c r="D13" s="10">
        <f t="shared" si="2"/>
        <v>30928045</v>
      </c>
      <c r="E13" s="10">
        <f t="shared" si="2"/>
        <v>35699859</v>
      </c>
      <c r="F13" s="10">
        <f>SUM(F5:F10,F12)</f>
        <v>31124193</v>
      </c>
      <c r="G13" s="10">
        <f>SUM(G5:G10,G12)</f>
        <v>29785552</v>
      </c>
      <c r="H13" s="10">
        <f t="shared" ref="H13:N13" si="3">SUM(H5:H10,H12)</f>
        <v>25326748</v>
      </c>
      <c r="I13" s="10">
        <f t="shared" si="3"/>
        <v>28348371</v>
      </c>
      <c r="J13" s="10">
        <f t="shared" si="3"/>
        <v>29308869</v>
      </c>
      <c r="K13" s="10">
        <f t="shared" si="3"/>
        <v>27034827</v>
      </c>
      <c r="L13" s="10">
        <f t="shared" si="3"/>
        <v>31902899</v>
      </c>
      <c r="M13" s="10">
        <f t="shared" si="3"/>
        <v>31911031</v>
      </c>
      <c r="N13" s="10">
        <f t="shared" si="3"/>
        <v>32140633</v>
      </c>
    </row>
  </sheetData>
  <mergeCells count="5">
    <mergeCell ref="A2:N2"/>
    <mergeCell ref="A4:A12"/>
    <mergeCell ref="B4:N4"/>
    <mergeCell ref="B11:N11"/>
    <mergeCell ref="A13:B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3"/>
  <sheetViews>
    <sheetView zoomScale="75" zoomScaleNormal="75" workbookViewId="0">
      <selection activeCell="W12" sqref="W1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19.140625" style="1" customWidth="1"/>
    <col min="7" max="7" width="19.140625" style="1" hidden="1" customWidth="1"/>
    <col min="8" max="8" width="19.140625" style="1" customWidth="1"/>
    <col min="9" max="9" width="19.140625" style="1" hidden="1" customWidth="1"/>
    <col min="10" max="10" width="19.140625" style="1" customWidth="1"/>
    <col min="11" max="11" width="19.140625" style="1" hidden="1" customWidth="1"/>
    <col min="12" max="12" width="19.140625" style="1" customWidth="1"/>
    <col min="13" max="13" width="19.140625" style="1" hidden="1" customWidth="1"/>
    <col min="14" max="14" width="19.140625" style="1" customWidth="1"/>
    <col min="15" max="15" width="19.140625" style="1" hidden="1" customWidth="1"/>
    <col min="16" max="16" width="19.140625" style="1" customWidth="1"/>
    <col min="17" max="17" width="19.140625" style="1" hidden="1" customWidth="1"/>
    <col min="18" max="18" width="19.140625" style="1" customWidth="1"/>
    <col min="19" max="19" width="19.140625" style="1" hidden="1" customWidth="1"/>
    <col min="20" max="20" width="19.140625" style="1" customWidth="1"/>
    <col min="21" max="21" width="19.140625" style="1" hidden="1" customWidth="1"/>
    <col min="22" max="22" width="19.140625" style="1" customWidth="1"/>
    <col min="23" max="23" width="12.7109375" style="14" bestFit="1" customWidth="1"/>
    <col min="24" max="16384" width="9.140625" style="1"/>
  </cols>
  <sheetData>
    <row r="2" spans="1:23" ht="42.75" customHeight="1" x14ac:dyDescent="0.2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  <c r="W3" s="15"/>
    </row>
    <row r="4" spans="1:23" ht="22.5" customHeight="1" x14ac:dyDescent="0.25">
      <c r="A4" s="23" t="s">
        <v>29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/>
    </row>
    <row r="5" spans="1:23" ht="22.5" customHeight="1" x14ac:dyDescent="0.25">
      <c r="A5" s="24"/>
      <c r="B5" s="5" t="s">
        <v>25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22.5" customHeight="1" x14ac:dyDescent="0.25">
      <c r="A6" s="24"/>
      <c r="B6" s="5" t="s">
        <v>21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22.5" customHeight="1" x14ac:dyDescent="0.25">
      <c r="A7" s="24"/>
      <c r="B7" s="5" t="s">
        <v>14</v>
      </c>
      <c r="C7" s="3">
        <f>26129355+657978</f>
        <v>26787333</v>
      </c>
      <c r="D7" s="3">
        <f>25537686+679409</f>
        <v>26217095</v>
      </c>
      <c r="E7" s="3">
        <f>28224148+503311</f>
        <v>28727459</v>
      </c>
      <c r="F7" s="3">
        <f>27527451+294542</f>
        <v>27821993</v>
      </c>
      <c r="G7" s="3">
        <v>0.96453899477542215</v>
      </c>
      <c r="H7" s="3">
        <f>23441829+262404</f>
        <v>23704233</v>
      </c>
      <c r="I7" s="3">
        <v>0.85408696351109914</v>
      </c>
      <c r="J7" s="3">
        <f>22672928+183578</f>
        <v>22856506</v>
      </c>
      <c r="K7" s="3">
        <v>1.1191026876317771</v>
      </c>
      <c r="L7" s="3">
        <f>25011004+243164</f>
        <v>25254168</v>
      </c>
      <c r="M7" s="3">
        <v>1.0321303509918396</v>
      </c>
      <c r="N7" s="3">
        <f>26393853+267417</f>
        <v>26661270</v>
      </c>
      <c r="O7" s="3">
        <v>0.91905213263614005</v>
      </c>
      <c r="P7" s="3">
        <f>27527932+292736</f>
        <v>27820668</v>
      </c>
      <c r="Q7" s="3">
        <v>1.1750486892805947</v>
      </c>
      <c r="R7" s="3">
        <f>29540968+483252</f>
        <v>30024220</v>
      </c>
      <c r="S7" s="3">
        <v>0.9983064648178509</v>
      </c>
      <c r="T7" s="3">
        <f>29778755+580390</f>
        <v>30359145</v>
      </c>
      <c r="U7" s="3">
        <v>1.0030773628855227</v>
      </c>
      <c r="V7" s="3">
        <f>31419425+925947</f>
        <v>32345372</v>
      </c>
      <c r="W7" s="14">
        <f>'2021'!C6/'2020'!V7</f>
        <v>0.95287171221898448</v>
      </c>
    </row>
    <row r="8" spans="1:23" ht="22.5" customHeight="1" x14ac:dyDescent="0.25">
      <c r="A8" s="24"/>
      <c r="B8" s="5" t="s">
        <v>15</v>
      </c>
      <c r="C8" s="3">
        <v>48476</v>
      </c>
      <c r="D8" s="3">
        <v>33857</v>
      </c>
      <c r="E8" s="3">
        <v>34079</v>
      </c>
      <c r="F8" s="3">
        <v>30165</v>
      </c>
      <c r="G8" s="3">
        <v>0.58715391009655349</v>
      </c>
      <c r="H8" s="3">
        <v>16910</v>
      </c>
      <c r="I8" s="3">
        <v>0.27955349850258643</v>
      </c>
      <c r="J8" s="3">
        <v>14361</v>
      </c>
      <c r="K8" s="3">
        <v>2.8802103622906117</v>
      </c>
      <c r="L8" s="3">
        <v>17744</v>
      </c>
      <c r="M8" s="3">
        <v>0.74653411780618106</v>
      </c>
      <c r="N8" s="3">
        <v>84364</v>
      </c>
      <c r="O8" s="3">
        <v>2.5462451308995382</v>
      </c>
      <c r="P8" s="3">
        <v>16469</v>
      </c>
      <c r="Q8" s="3">
        <v>1.1161591006119254</v>
      </c>
      <c r="R8" s="3">
        <v>34993</v>
      </c>
      <c r="S8" s="3">
        <v>0.33748764861505115</v>
      </c>
      <c r="T8" s="3">
        <v>41812</v>
      </c>
      <c r="U8" s="3">
        <v>3.7159047978843973</v>
      </c>
      <c r="V8" s="3">
        <v>52444</v>
      </c>
      <c r="W8" s="14">
        <f>'2021'!C7/'2020'!V8</f>
        <v>1.0050530089238043</v>
      </c>
    </row>
    <row r="9" spans="1:23" ht="22.5" customHeight="1" x14ac:dyDescent="0.25">
      <c r="A9" s="24"/>
      <c r="B9" s="5" t="s">
        <v>16</v>
      </c>
      <c r="C9" s="3">
        <v>841165</v>
      </c>
      <c r="D9" s="3">
        <v>666234</v>
      </c>
      <c r="E9" s="3">
        <v>606111</v>
      </c>
      <c r="F9" s="3">
        <v>529563</v>
      </c>
      <c r="G9" s="3">
        <v>0.57847482567377373</v>
      </c>
      <c r="H9" s="3">
        <v>343921</v>
      </c>
      <c r="I9" s="3">
        <v>0.54229426510619316</v>
      </c>
      <c r="J9" s="3">
        <v>265732</v>
      </c>
      <c r="K9" s="3">
        <v>1.0987363023799261</v>
      </c>
      <c r="L9" s="3">
        <v>261805</v>
      </c>
      <c r="M9" s="3">
        <v>1.3092103904685208</v>
      </c>
      <c r="N9" s="3">
        <v>200436</v>
      </c>
      <c r="O9" s="3">
        <v>1.2318395993927804</v>
      </c>
      <c r="P9" s="3">
        <v>319030</v>
      </c>
      <c r="Q9" s="3">
        <v>1.6143438333231972</v>
      </c>
      <c r="R9" s="3">
        <v>503861</v>
      </c>
      <c r="S9" s="3">
        <v>1.1570660385214795</v>
      </c>
      <c r="T9" s="3">
        <v>666688</v>
      </c>
      <c r="U9" s="3">
        <v>1.1683074661087092</v>
      </c>
      <c r="V9" s="3">
        <v>729805</v>
      </c>
      <c r="W9" s="14">
        <f>'2021'!C8/'2020'!V9</f>
        <v>1.1087372654339174</v>
      </c>
    </row>
    <row r="10" spans="1:23" ht="22.5" customHeight="1" x14ac:dyDescent="0.25">
      <c r="A10" s="24"/>
      <c r="B10" s="5" t="s">
        <v>17</v>
      </c>
      <c r="C10" s="3">
        <v>9810</v>
      </c>
      <c r="D10" s="3">
        <v>8221</v>
      </c>
      <c r="E10" s="3">
        <v>6964</v>
      </c>
      <c r="F10" s="3">
        <v>7426</v>
      </c>
      <c r="G10" s="3">
        <v>0.40908702707319156</v>
      </c>
      <c r="H10" s="3">
        <v>4867</v>
      </c>
      <c r="I10" s="3">
        <v>0.88810020876826723</v>
      </c>
      <c r="J10" s="3">
        <v>4636</v>
      </c>
      <c r="K10" s="3">
        <v>1.0272684532204983</v>
      </c>
      <c r="L10" s="3">
        <v>4761</v>
      </c>
      <c r="M10" s="3">
        <v>1.1251716247139587</v>
      </c>
      <c r="N10" s="3">
        <v>7762</v>
      </c>
      <c r="O10" s="3">
        <v>1.0831808013016067</v>
      </c>
      <c r="P10" s="3">
        <v>5189</v>
      </c>
      <c r="Q10" s="3">
        <v>1.1907622981599699</v>
      </c>
      <c r="R10" s="3">
        <v>6274</v>
      </c>
      <c r="S10" s="3">
        <v>1.2035635446231472</v>
      </c>
      <c r="T10" s="3">
        <v>7641</v>
      </c>
      <c r="U10" s="3">
        <v>1.0873837285470982</v>
      </c>
      <c r="V10" s="3">
        <v>17828</v>
      </c>
      <c r="W10" s="14">
        <f>'2021'!C9/'2020'!V10</f>
        <v>1.174837334529953</v>
      </c>
    </row>
    <row r="11" spans="1:23" ht="22.5" customHeight="1" x14ac:dyDescent="0.25">
      <c r="A11" s="24"/>
      <c r="B11" s="26" t="s">
        <v>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8"/>
    </row>
    <row r="12" spans="1:23" ht="22.5" customHeight="1" x14ac:dyDescent="0.25">
      <c r="A12" s="24"/>
      <c r="B12" s="4"/>
      <c r="C12" s="11">
        <v>6530</v>
      </c>
      <c r="D12" s="11">
        <v>4608</v>
      </c>
      <c r="E12" s="11">
        <v>2129</v>
      </c>
      <c r="F12" s="11">
        <v>6770</v>
      </c>
      <c r="G12" s="11">
        <v>1.3279569892473118</v>
      </c>
      <c r="H12" s="11">
        <v>120</v>
      </c>
      <c r="I12" s="11">
        <v>8.7449392712550603E-2</v>
      </c>
      <c r="J12" s="11">
        <v>73</v>
      </c>
      <c r="K12" s="3">
        <v>1.8518518518518519</v>
      </c>
      <c r="L12" s="11">
        <v>876</v>
      </c>
      <c r="M12" s="3">
        <v>1.4999999999999999E-2</v>
      </c>
      <c r="N12" s="3">
        <v>27</v>
      </c>
      <c r="O12" s="3">
        <v>118</v>
      </c>
      <c r="P12" s="11">
        <v>99</v>
      </c>
      <c r="Q12" s="11">
        <v>1.1497175141242937</v>
      </c>
      <c r="R12" s="11">
        <v>451</v>
      </c>
      <c r="S12" s="11">
        <v>4.7371007371007368</v>
      </c>
      <c r="T12" s="11">
        <v>3311</v>
      </c>
      <c r="U12" s="11">
        <v>3.9139004149377592</v>
      </c>
      <c r="V12" s="11">
        <v>5108</v>
      </c>
      <c r="W12" s="14">
        <f>'2021'!C11/'2020'!V12</f>
        <v>1.0268206734534064</v>
      </c>
    </row>
    <row r="13" spans="1:23" ht="22.5" customHeight="1" x14ac:dyDescent="0.25">
      <c r="A13" s="29" t="s">
        <v>18</v>
      </c>
      <c r="B13" s="30"/>
      <c r="C13" s="10">
        <f t="shared" ref="C13:E13" si="0">SUM(C5:C10,C12)</f>
        <v>27693314</v>
      </c>
      <c r="D13" s="10">
        <f t="shared" si="0"/>
        <v>26930015</v>
      </c>
      <c r="E13" s="10">
        <f t="shared" si="0"/>
        <v>29376742</v>
      </c>
      <c r="F13" s="10">
        <f>SUM(F5:F10,F12)</f>
        <v>28395917</v>
      </c>
      <c r="G13" s="10"/>
      <c r="H13" s="10">
        <f>SUM(H5:H10,H12)</f>
        <v>24070051</v>
      </c>
      <c r="I13" s="10"/>
      <c r="J13" s="10">
        <f t="shared" ref="J13:V13" si="1">SUM(J5:J10,J12)</f>
        <v>23141308</v>
      </c>
      <c r="K13" s="10"/>
      <c r="L13" s="10">
        <f t="shared" si="1"/>
        <v>25539354</v>
      </c>
      <c r="M13" s="10"/>
      <c r="N13" s="10">
        <f t="shared" si="1"/>
        <v>26953859</v>
      </c>
      <c r="O13" s="10"/>
      <c r="P13" s="10">
        <f t="shared" si="1"/>
        <v>28161455</v>
      </c>
      <c r="Q13" s="10"/>
      <c r="R13" s="10">
        <f t="shared" si="1"/>
        <v>30569799</v>
      </c>
      <c r="S13" s="10"/>
      <c r="T13" s="10">
        <f t="shared" si="1"/>
        <v>31078597</v>
      </c>
      <c r="U13" s="10"/>
      <c r="V13" s="10">
        <f t="shared" si="1"/>
        <v>33150557</v>
      </c>
    </row>
  </sheetData>
  <mergeCells count="5">
    <mergeCell ref="A2:V2"/>
    <mergeCell ref="A4:A12"/>
    <mergeCell ref="B4:V4"/>
    <mergeCell ref="B11:V11"/>
    <mergeCell ref="A13:B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2"/>
  <sheetViews>
    <sheetView zoomScale="70" zoomScaleNormal="70" workbookViewId="0">
      <selection activeCell="AH11" sqref="AH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9.140625" style="1" customWidth="1"/>
    <col min="4" max="4" width="19.140625" style="1" hidden="1" customWidth="1"/>
    <col min="5" max="5" width="19.140625" style="1" customWidth="1"/>
    <col min="6" max="6" width="19.140625" style="1" hidden="1" customWidth="1"/>
    <col min="7" max="7" width="19.140625" style="1" customWidth="1"/>
    <col min="8" max="8" width="19.140625" style="1" hidden="1" customWidth="1"/>
    <col min="9" max="9" width="19.140625" style="1" customWidth="1"/>
    <col min="10" max="11" width="19.140625" style="1" hidden="1" customWidth="1"/>
    <col min="12" max="12" width="19.140625" style="1" customWidth="1"/>
    <col min="13" max="14" width="19.140625" style="1" hidden="1" customWidth="1"/>
    <col min="15" max="15" width="19.140625" style="1" customWidth="1"/>
    <col min="16" max="17" width="19.140625" style="1" hidden="1" customWidth="1"/>
    <col min="18" max="18" width="19.140625" style="1" customWidth="1"/>
    <col min="19" max="20" width="19.140625" style="1" hidden="1" customWidth="1"/>
    <col min="21" max="21" width="19.140625" style="1" customWidth="1"/>
    <col min="22" max="23" width="19.140625" style="1" hidden="1" customWidth="1"/>
    <col min="24" max="24" width="19.140625" style="1" customWidth="1"/>
    <col min="25" max="26" width="19.140625" style="1" hidden="1" customWidth="1"/>
    <col min="27" max="27" width="19.140625" style="1" customWidth="1"/>
    <col min="28" max="29" width="19.140625" style="1" hidden="1" customWidth="1"/>
    <col min="30" max="30" width="19.140625" style="1" customWidth="1"/>
    <col min="31" max="32" width="19.140625" style="1" hidden="1" customWidth="1"/>
    <col min="33" max="33" width="19.140625" style="1" customWidth="1"/>
    <col min="34" max="34" width="9.140625" style="14"/>
    <col min="35" max="16384" width="9.140625" style="1"/>
  </cols>
  <sheetData>
    <row r="2" spans="1:34" ht="42.75" customHeight="1" x14ac:dyDescent="0.2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4" s="2" customFormat="1" ht="33" customHeight="1" x14ac:dyDescent="0.25">
      <c r="A3" s="7" t="s">
        <v>0</v>
      </c>
      <c r="B3" s="8" t="s">
        <v>1</v>
      </c>
      <c r="C3" s="9" t="s">
        <v>2</v>
      </c>
      <c r="D3" s="9"/>
      <c r="E3" s="9" t="s">
        <v>3</v>
      </c>
      <c r="F3" s="9"/>
      <c r="G3" s="9" t="s">
        <v>4</v>
      </c>
      <c r="H3" s="9"/>
      <c r="I3" s="9" t="s">
        <v>5</v>
      </c>
      <c r="J3" s="9"/>
      <c r="K3" s="9"/>
      <c r="L3" s="9" t="s">
        <v>6</v>
      </c>
      <c r="M3" s="9"/>
      <c r="N3" s="9"/>
      <c r="O3" s="9" t="s">
        <v>7</v>
      </c>
      <c r="P3" s="9"/>
      <c r="Q3" s="9"/>
      <c r="R3" s="9" t="s">
        <v>8</v>
      </c>
      <c r="S3" s="9"/>
      <c r="T3" s="9"/>
      <c r="U3" s="9" t="s">
        <v>9</v>
      </c>
      <c r="V3" s="9"/>
      <c r="W3" s="9"/>
      <c r="X3" s="9" t="s">
        <v>10</v>
      </c>
      <c r="Y3" s="9"/>
      <c r="Z3" s="9"/>
      <c r="AA3" s="9" t="s">
        <v>11</v>
      </c>
      <c r="AB3" s="9"/>
      <c r="AC3" s="9"/>
      <c r="AD3" s="9" t="s">
        <v>12</v>
      </c>
      <c r="AE3" s="9"/>
      <c r="AF3" s="9"/>
      <c r="AG3" s="9" t="s">
        <v>13</v>
      </c>
      <c r="AH3" s="15"/>
    </row>
    <row r="4" spans="1:34" ht="22.5" customHeight="1" x14ac:dyDescent="0.25">
      <c r="A4" s="23" t="s">
        <v>29</v>
      </c>
      <c r="B4" s="26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</row>
    <row r="5" spans="1:34" ht="22.5" customHeight="1" x14ac:dyDescent="0.25">
      <c r="A5" s="24"/>
      <c r="B5" s="5" t="s">
        <v>25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4" ht="22.5" customHeight="1" x14ac:dyDescent="0.25">
      <c r="A6" s="24"/>
      <c r="B6" s="5" t="s">
        <v>14</v>
      </c>
      <c r="C6" s="3">
        <f>30045039+775951</f>
        <v>30820990</v>
      </c>
      <c r="D6" s="3">
        <v>0.97871240111884228</v>
      </c>
      <c r="E6" s="3">
        <f>27853376+683593</f>
        <v>28536969</v>
      </c>
      <c r="F6" s="3">
        <v>1.0957529428794457</v>
      </c>
      <c r="G6" s="3">
        <f>31235145+931660</f>
        <v>32166805</v>
      </c>
      <c r="H6" s="3">
        <v>0.96848081830001043</v>
      </c>
      <c r="I6" s="3">
        <f>28170547+166748</f>
        <v>28337295</v>
      </c>
      <c r="J6" s="3"/>
      <c r="K6" s="3">
        <v>0.85199622471330505</v>
      </c>
      <c r="L6" s="3">
        <f>29697000+145105</f>
        <v>29842105</v>
      </c>
      <c r="M6" s="3"/>
      <c r="N6" s="3">
        <v>0.96423731575706328</v>
      </c>
      <c r="O6" s="3">
        <f>26901341+181660</f>
        <v>27083001</v>
      </c>
      <c r="P6" s="3"/>
      <c r="Q6" s="3">
        <v>1.1049006352939508</v>
      </c>
      <c r="R6" s="3">
        <f>29154352+245273</f>
        <v>29399625</v>
      </c>
      <c r="S6" s="3"/>
      <c r="T6" s="3">
        <v>1.0557176146131602</v>
      </c>
      <c r="U6" s="3">
        <f>28078309+315938</f>
        <v>28394247</v>
      </c>
      <c r="V6" s="3"/>
      <c r="W6" s="3">
        <v>1.0434862255248907</v>
      </c>
      <c r="X6" s="3">
        <f>27461100+336989</f>
        <v>27798089</v>
      </c>
      <c r="Y6" s="3"/>
      <c r="Z6" s="3">
        <v>1.0792055747906557</v>
      </c>
      <c r="AA6" s="3">
        <f>31042333+467054</f>
        <v>31509387</v>
      </c>
      <c r="AB6" s="3"/>
      <c r="AC6" s="3">
        <v>1.0111551607335678</v>
      </c>
      <c r="AD6" s="3">
        <f>32114911+614482</f>
        <v>32729393</v>
      </c>
      <c r="AE6" s="3"/>
      <c r="AF6" s="3">
        <v>1.0654243391900529</v>
      </c>
      <c r="AG6" s="3">
        <f>32380518+859266</f>
        <v>33239784</v>
      </c>
      <c r="AH6" s="14">
        <f>'2022'!D6/'2021'!AG6</f>
        <v>0.97713162034987955</v>
      </c>
    </row>
    <row r="7" spans="1:34" ht="22.5" customHeight="1" x14ac:dyDescent="0.25">
      <c r="A7" s="24"/>
      <c r="B7" s="5" t="s">
        <v>15</v>
      </c>
      <c r="C7" s="3">
        <v>52709</v>
      </c>
      <c r="D7" s="3">
        <v>0.69842808812608304</v>
      </c>
      <c r="E7" s="3">
        <v>47604</v>
      </c>
      <c r="F7" s="3">
        <v>1.0065569896919395</v>
      </c>
      <c r="G7" s="3">
        <v>41771</v>
      </c>
      <c r="H7" s="3">
        <v>1.0065569896919395</v>
      </c>
      <c r="I7" s="3">
        <v>38479</v>
      </c>
      <c r="J7" s="3"/>
      <c r="K7" s="3">
        <v>0.56058345764959394</v>
      </c>
      <c r="L7" s="3">
        <v>19855</v>
      </c>
      <c r="M7" s="3"/>
      <c r="N7" s="3">
        <v>0.84926079243051444</v>
      </c>
      <c r="O7" s="3">
        <v>11332</v>
      </c>
      <c r="P7" s="3"/>
      <c r="Q7" s="3">
        <v>1.2355685537218857</v>
      </c>
      <c r="R7" s="3">
        <v>12923</v>
      </c>
      <c r="S7" s="3"/>
      <c r="T7" s="3">
        <v>4.7545085662759243</v>
      </c>
      <c r="U7" s="3">
        <v>14963</v>
      </c>
      <c r="V7" s="3"/>
      <c r="W7" s="3">
        <v>0.19521359821724907</v>
      </c>
      <c r="X7" s="3">
        <v>28883</v>
      </c>
      <c r="Y7" s="3"/>
      <c r="Z7" s="3">
        <v>2.1247798894893437</v>
      </c>
      <c r="AA7" s="3">
        <v>27366</v>
      </c>
      <c r="AB7" s="3"/>
      <c r="AC7" s="3">
        <v>1.194867544937559</v>
      </c>
      <c r="AD7" s="3">
        <v>23637</v>
      </c>
      <c r="AE7" s="3"/>
      <c r="AF7" s="3">
        <v>1.2542810676360854</v>
      </c>
      <c r="AG7" s="3">
        <v>11935</v>
      </c>
      <c r="AH7" s="14">
        <f>'2022'!D7/'2021'!AG7</f>
        <v>3.9918726434855465</v>
      </c>
    </row>
    <row r="8" spans="1:34" ht="22.5" customHeight="1" x14ac:dyDescent="0.25">
      <c r="A8" s="24"/>
      <c r="B8" s="5" t="s">
        <v>16</v>
      </c>
      <c r="C8" s="3">
        <v>809162</v>
      </c>
      <c r="D8" s="3">
        <v>0.79203723407417093</v>
      </c>
      <c r="E8" s="3">
        <v>727319</v>
      </c>
      <c r="F8" s="3">
        <v>0.90975693224902965</v>
      </c>
      <c r="G8" s="3">
        <v>627728</v>
      </c>
      <c r="H8" s="3">
        <v>0.90975693224902965</v>
      </c>
      <c r="I8" s="3">
        <v>445081</v>
      </c>
      <c r="J8" s="3"/>
      <c r="K8" s="3">
        <v>0.64944303132960568</v>
      </c>
      <c r="L8" s="3">
        <v>272002</v>
      </c>
      <c r="M8" s="3"/>
      <c r="N8" s="3">
        <v>0.77265418511809403</v>
      </c>
      <c r="O8" s="3">
        <v>223983</v>
      </c>
      <c r="P8" s="3"/>
      <c r="Q8" s="3">
        <v>0.98522195294507253</v>
      </c>
      <c r="R8" s="3">
        <v>221005</v>
      </c>
      <c r="S8" s="3"/>
      <c r="T8" s="3">
        <v>0.76559271213307611</v>
      </c>
      <c r="U8" s="3">
        <v>223594</v>
      </c>
      <c r="V8" s="3"/>
      <c r="W8" s="3">
        <v>1.5916801373006846</v>
      </c>
      <c r="X8" s="3">
        <v>329343</v>
      </c>
      <c r="Y8" s="3"/>
      <c r="Z8" s="3">
        <v>1.579353038899163</v>
      </c>
      <c r="AA8" s="3">
        <v>505689</v>
      </c>
      <c r="AB8" s="3"/>
      <c r="AC8" s="3">
        <v>1.3231585695261192</v>
      </c>
      <c r="AD8" s="3">
        <v>650483</v>
      </c>
      <c r="AE8" s="3"/>
      <c r="AF8" s="3">
        <v>1.0946724704809445</v>
      </c>
      <c r="AG8" s="3">
        <v>770159</v>
      </c>
      <c r="AH8" s="14">
        <f>'2022'!D8/'2021'!AG8</f>
        <v>0.89018761061027663</v>
      </c>
    </row>
    <row r="9" spans="1:34" ht="22.5" customHeight="1" x14ac:dyDescent="0.25">
      <c r="A9" s="24"/>
      <c r="B9" s="5" t="s">
        <v>17</v>
      </c>
      <c r="C9" s="3">
        <v>20945</v>
      </c>
      <c r="D9" s="3">
        <v>0.83802242609582056</v>
      </c>
      <c r="E9" s="3">
        <v>18257</v>
      </c>
      <c r="F9" s="3">
        <v>0.8470988930787009</v>
      </c>
      <c r="G9" s="3">
        <v>15193</v>
      </c>
      <c r="H9" s="3">
        <v>0.8470988930787009</v>
      </c>
      <c r="I9" s="3">
        <v>9906</v>
      </c>
      <c r="J9" s="3"/>
      <c r="K9" s="3">
        <v>0.65539994613520069</v>
      </c>
      <c r="L9" s="3">
        <v>7100</v>
      </c>
      <c r="M9" s="3"/>
      <c r="N9" s="3">
        <v>0.95253749743168281</v>
      </c>
      <c r="O9" s="3">
        <v>6319</v>
      </c>
      <c r="P9" s="3"/>
      <c r="Q9" s="3">
        <v>1.0269628990509059</v>
      </c>
      <c r="R9" s="3">
        <v>4687</v>
      </c>
      <c r="S9" s="3"/>
      <c r="T9" s="3">
        <v>1.6303297626549045</v>
      </c>
      <c r="U9" s="3">
        <v>4761</v>
      </c>
      <c r="V9" s="3"/>
      <c r="W9" s="3">
        <v>0.66851326977583092</v>
      </c>
      <c r="X9" s="3">
        <v>7092</v>
      </c>
      <c r="Y9" s="3"/>
      <c r="Z9" s="3">
        <v>1.2090961649643477</v>
      </c>
      <c r="AA9" s="3">
        <v>9981</v>
      </c>
      <c r="AB9" s="3"/>
      <c r="AC9" s="3">
        <v>1.2178833280204016</v>
      </c>
      <c r="AD9" s="3">
        <v>11939</v>
      </c>
      <c r="AE9" s="3"/>
      <c r="AF9" s="3">
        <v>2.3332024604109409</v>
      </c>
      <c r="AG9" s="3">
        <v>12458</v>
      </c>
      <c r="AH9" s="14">
        <f>'2022'!D9/'2021'!AG9</f>
        <v>1.1869481457697866</v>
      </c>
    </row>
    <row r="10" spans="1:34" ht="22.5" customHeight="1" x14ac:dyDescent="0.25">
      <c r="A10" s="24"/>
      <c r="B10" s="26" t="s">
        <v>20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/>
    </row>
    <row r="11" spans="1:34" ht="22.5" customHeight="1" x14ac:dyDescent="0.25">
      <c r="A11" s="25"/>
      <c r="B11" s="4"/>
      <c r="C11" s="11">
        <v>5245</v>
      </c>
      <c r="D11" s="11">
        <v>0.7056661562021439</v>
      </c>
      <c r="E11" s="11">
        <v>4141</v>
      </c>
      <c r="F11" s="11">
        <v>0.46202256944444442</v>
      </c>
      <c r="G11" s="11">
        <v>5336</v>
      </c>
      <c r="H11" s="11">
        <v>3.1798966651009866</v>
      </c>
      <c r="I11" s="16">
        <v>4013</v>
      </c>
      <c r="J11" s="11"/>
      <c r="K11" s="11">
        <v>1.7725258493353029E-2</v>
      </c>
      <c r="L11" s="11">
        <v>2000</v>
      </c>
      <c r="M11" s="11"/>
      <c r="N11" s="11">
        <v>0.60833333333333328</v>
      </c>
      <c r="O11" s="11">
        <v>378</v>
      </c>
      <c r="P11" s="3"/>
      <c r="Q11" s="3">
        <v>12</v>
      </c>
      <c r="R11" s="11">
        <v>368</v>
      </c>
      <c r="S11" s="3"/>
      <c r="T11" s="3">
        <v>3.0821917808219176E-2</v>
      </c>
      <c r="U11" s="3">
        <v>521</v>
      </c>
      <c r="V11" s="3"/>
      <c r="W11" s="3">
        <v>3.6666666666666665</v>
      </c>
      <c r="X11" s="11">
        <v>1130</v>
      </c>
      <c r="Y11" s="11"/>
      <c r="Z11" s="11">
        <v>4.5555555555555554</v>
      </c>
      <c r="AA11" s="11">
        <v>2513</v>
      </c>
      <c r="AB11" s="11"/>
      <c r="AC11" s="11">
        <v>7.3414634146341466</v>
      </c>
      <c r="AD11" s="11">
        <v>3846</v>
      </c>
      <c r="AE11" s="11"/>
      <c r="AF11" s="11">
        <v>1.5427363334340078</v>
      </c>
      <c r="AG11" s="11">
        <v>3</v>
      </c>
      <c r="AH11" s="14">
        <f>'2022'!D11/'2021'!AG11</f>
        <v>201</v>
      </c>
    </row>
    <row r="12" spans="1:34" ht="22.5" customHeight="1" x14ac:dyDescent="0.25">
      <c r="A12" s="29" t="s">
        <v>18</v>
      </c>
      <c r="B12" s="30"/>
      <c r="C12" s="10">
        <f>SUM(C5:C9,C11)</f>
        <v>31709051</v>
      </c>
      <c r="D12" s="10"/>
      <c r="E12" s="10">
        <f>SUM(E5:E9,E11)</f>
        <v>29334290</v>
      </c>
      <c r="F12" s="10"/>
      <c r="G12" s="10">
        <f>SUM(G5:G9,G11)</f>
        <v>32856833</v>
      </c>
      <c r="H12" s="10"/>
      <c r="I12" s="10">
        <f>SUM(I5:I9,I11)</f>
        <v>28834774</v>
      </c>
      <c r="J12" s="10"/>
      <c r="K12" s="10"/>
      <c r="L12" s="10">
        <f>SUM(L5:L9,L11)</f>
        <v>30143062</v>
      </c>
      <c r="M12" s="10"/>
      <c r="N12" s="10"/>
      <c r="O12" s="10">
        <f>SUM(O5:O9,O11)</f>
        <v>27325013</v>
      </c>
      <c r="P12" s="10"/>
      <c r="Q12" s="10"/>
      <c r="R12" s="10">
        <f>SUM(R5:R9,R11)</f>
        <v>29638608</v>
      </c>
      <c r="S12" s="10"/>
      <c r="T12" s="10"/>
      <c r="U12" s="10">
        <f>SUM(U5:U9,U11)</f>
        <v>28638086</v>
      </c>
      <c r="V12" s="10"/>
      <c r="W12" s="10"/>
      <c r="X12" s="10">
        <f>SUM(X5:X9,X11)</f>
        <v>28164537</v>
      </c>
      <c r="Y12" s="10"/>
      <c r="Z12" s="10"/>
      <c r="AA12" s="10">
        <f>SUM(AA5:AA9,AA11)</f>
        <v>32054936</v>
      </c>
      <c r="AB12" s="10"/>
      <c r="AC12" s="10"/>
      <c r="AD12" s="10">
        <f>SUM(AD5:AD9,AD11)</f>
        <v>33419298</v>
      </c>
      <c r="AE12" s="10"/>
      <c r="AF12" s="10"/>
      <c r="AG12" s="10">
        <f>SUM(AG5:AG9,AG11)</f>
        <v>34034339</v>
      </c>
    </row>
  </sheetData>
  <mergeCells count="5">
    <mergeCell ref="A2:AG2"/>
    <mergeCell ref="B4:AG4"/>
    <mergeCell ref="B10:AG10"/>
    <mergeCell ref="A12:B12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Ермакова Наталья Юрьевна</cp:lastModifiedBy>
  <dcterms:created xsi:type="dcterms:W3CDTF">2013-11-13T16:10:49Z</dcterms:created>
  <dcterms:modified xsi:type="dcterms:W3CDTF">2024-04-17T09:39:52Z</dcterms:modified>
</cp:coreProperties>
</file>